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erson\Desktop\"/>
    </mc:Choice>
  </mc:AlternateContent>
  <xr:revisionPtr revIDLastSave="0" documentId="8_{24E7A8AC-30D6-4E6D-AABB-3EA865680C93}" xr6:coauthVersionLast="46" xr6:coauthVersionMax="46" xr10:uidLastSave="{00000000-0000-0000-0000-000000000000}"/>
  <bookViews>
    <workbookView xWindow="17172" yWindow="-108" windowWidth="23256" windowHeight="13176" xr2:uid="{00000000-000D-0000-FFFF-FFFF00000000}"/>
  </bookViews>
  <sheets>
    <sheet name="incexp'20 -" sheetId="2" r:id="rId1"/>
    <sheet name="Sheet1" sheetId="1" r:id="rId2"/>
  </sheets>
  <externalReferences>
    <externalReference r:id="rId3"/>
  </externalReferences>
  <definedNames>
    <definedName name="\A">'[1]incexp''92-''10'!#REF!</definedName>
    <definedName name="\C">'[1]DESG97-11'!#REF!</definedName>
    <definedName name="\E">'[1]DESG97-11'!#REF!</definedName>
    <definedName name="\T">'[1]DESG97-11'!#REF!</definedName>
    <definedName name="date">"incexp03!$A$117"</definedName>
    <definedName name="_xlnm.Print_Area" localSheetId="0">'incexp''20 -'!$A$1:$AJ$83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N80" i="2" l="1"/>
  <c r="EM80" i="2"/>
  <c r="EL80" i="2"/>
  <c r="EK80" i="2"/>
  <c r="EJ80" i="2"/>
  <c r="EI80" i="2"/>
  <c r="EH80" i="2"/>
  <c r="EG80" i="2"/>
  <c r="EF80" i="2"/>
  <c r="EE80" i="2"/>
  <c r="ED80" i="2"/>
  <c r="AI80" i="2"/>
  <c r="BI79" i="2"/>
  <c r="BH79" i="2"/>
  <c r="AG79" i="2"/>
  <c r="AE79" i="2"/>
  <c r="AD79" i="2"/>
  <c r="AJ79" i="2" s="1"/>
  <c r="Z79" i="2"/>
  <c r="DR78" i="2"/>
  <c r="DF78" i="2"/>
  <c r="CT78" i="2"/>
  <c r="CK78" i="2"/>
  <c r="CJ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E78" i="2"/>
  <c r="Y78" i="2"/>
  <c r="X78" i="2"/>
  <c r="W78" i="2"/>
  <c r="U78" i="2"/>
  <c r="T78" i="2"/>
  <c r="S78" i="2"/>
  <c r="R78" i="2"/>
  <c r="Q78" i="2"/>
  <c r="P78" i="2"/>
  <c r="O78" i="2"/>
  <c r="N78" i="2"/>
  <c r="M78" i="2"/>
  <c r="K78" i="2"/>
  <c r="J78" i="2"/>
  <c r="I78" i="2"/>
  <c r="H78" i="2"/>
  <c r="G78" i="2"/>
  <c r="F78" i="2"/>
  <c r="E78" i="2"/>
  <c r="D78" i="2"/>
  <c r="C78" i="2"/>
  <c r="B78" i="2"/>
  <c r="DX77" i="2"/>
  <c r="BH77" i="2"/>
  <c r="AG77" i="2"/>
  <c r="AE77" i="2"/>
  <c r="AD77" i="2"/>
  <c r="AJ77" i="2" s="1"/>
  <c r="Z77" i="2"/>
  <c r="EO76" i="2"/>
  <c r="EC76" i="2"/>
  <c r="EB76" i="2"/>
  <c r="EA76" i="2"/>
  <c r="DZ76" i="2"/>
  <c r="DY76" i="2"/>
  <c r="DX76" i="2"/>
  <c r="DW76" i="2"/>
  <c r="DV76" i="2"/>
  <c r="DU76" i="2"/>
  <c r="DT76" i="2"/>
  <c r="DS76" i="2"/>
  <c r="DR76" i="2"/>
  <c r="DQ76" i="2"/>
  <c r="DP76" i="2"/>
  <c r="DO76" i="2"/>
  <c r="DN76" i="2"/>
  <c r="DM76" i="2"/>
  <c r="DL76" i="2"/>
  <c r="DK76" i="2"/>
  <c r="DJ76" i="2"/>
  <c r="DI76" i="2"/>
  <c r="DH76" i="2"/>
  <c r="DG76" i="2"/>
  <c r="DF76" i="2"/>
  <c r="DD76" i="2"/>
  <c r="DC76" i="2"/>
  <c r="DB76" i="2"/>
  <c r="DA76" i="2"/>
  <c r="CZ76" i="2"/>
  <c r="CY76" i="2"/>
  <c r="CX76" i="2"/>
  <c r="CW76" i="2"/>
  <c r="CV76" i="2"/>
  <c r="CU76" i="2"/>
  <c r="CT76" i="2"/>
  <c r="CS76" i="2"/>
  <c r="CR76" i="2"/>
  <c r="CQ76" i="2"/>
  <c r="CP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E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EO75" i="2"/>
  <c r="EC75" i="2"/>
  <c r="EB75" i="2"/>
  <c r="DY75" i="2"/>
  <c r="DX75" i="2"/>
  <c r="DU75" i="2"/>
  <c r="DS75" i="2"/>
  <c r="DQ75" i="2"/>
  <c r="DO75" i="2"/>
  <c r="DM75" i="2"/>
  <c r="DL75" i="2"/>
  <c r="DJ75" i="2"/>
  <c r="DI75" i="2"/>
  <c r="DH75" i="2"/>
  <c r="DG75" i="2"/>
  <c r="DF75" i="2"/>
  <c r="DD75" i="2"/>
  <c r="DC75" i="2"/>
  <c r="CZ75" i="2"/>
  <c r="CY75" i="2"/>
  <c r="CW75" i="2"/>
  <c r="CV75" i="2"/>
  <c r="CT75" i="2"/>
  <c r="CR75" i="2"/>
  <c r="CQ75" i="2"/>
  <c r="CP75" i="2"/>
  <c r="CN75" i="2"/>
  <c r="CL75" i="2"/>
  <c r="CJ75" i="2"/>
  <c r="CI75" i="2"/>
  <c r="CH75" i="2"/>
  <c r="CE75" i="2"/>
  <c r="CB75" i="2"/>
  <c r="CA75" i="2"/>
  <c r="BY75" i="2"/>
  <c r="BX75" i="2"/>
  <c r="BW75" i="2"/>
  <c r="BV75" i="2"/>
  <c r="BS75" i="2"/>
  <c r="BR75" i="2"/>
  <c r="BM75" i="2"/>
  <c r="BK75" i="2"/>
  <c r="BI75" i="2"/>
  <c r="BH75" i="2"/>
  <c r="BG75" i="2"/>
  <c r="BF75" i="2"/>
  <c r="BD75" i="2"/>
  <c r="BC75" i="2"/>
  <c r="BA75" i="2"/>
  <c r="AZ75" i="2"/>
  <c r="AY75" i="2"/>
  <c r="AW75" i="2"/>
  <c r="AU75" i="2"/>
  <c r="AT75" i="2"/>
  <c r="AR75" i="2"/>
  <c r="AP75" i="2"/>
  <c r="AL75" i="2"/>
  <c r="AE75" i="2"/>
  <c r="Y75" i="2"/>
  <c r="X75" i="2"/>
  <c r="W75" i="2"/>
  <c r="V75" i="2"/>
  <c r="U75" i="2"/>
  <c r="T75" i="2"/>
  <c r="S75" i="2"/>
  <c r="R75" i="2"/>
  <c r="P75" i="2"/>
  <c r="M75" i="2"/>
  <c r="L75" i="2"/>
  <c r="H75" i="2"/>
  <c r="F75" i="2"/>
  <c r="D75" i="2"/>
  <c r="B75" i="2"/>
  <c r="EB74" i="2"/>
  <c r="DY74" i="2"/>
  <c r="DX74" i="2"/>
  <c r="DV74" i="2"/>
  <c r="DU74" i="2"/>
  <c r="DS74" i="2"/>
  <c r="DR74" i="2"/>
  <c r="DM74" i="2"/>
  <c r="DI74" i="2"/>
  <c r="DH74" i="2"/>
  <c r="DF74" i="2"/>
  <c r="DA74" i="2"/>
  <c r="CZ74" i="2"/>
  <c r="CY74" i="2"/>
  <c r="CU74" i="2"/>
  <c r="CT74" i="2"/>
  <c r="CS74" i="2"/>
  <c r="CR74" i="2"/>
  <c r="CQ74" i="2"/>
  <c r="CP74" i="2"/>
  <c r="CO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O74" i="2"/>
  <c r="BK74" i="2"/>
  <c r="BJ74" i="2"/>
  <c r="AY74" i="2"/>
  <c r="AX74" i="2"/>
  <c r="AR74" i="2"/>
  <c r="AP74" i="2"/>
  <c r="AO74" i="2"/>
  <c r="AN74" i="2"/>
  <c r="AM74" i="2"/>
  <c r="AL74" i="2"/>
  <c r="AE74" i="2"/>
  <c r="Y74" i="2"/>
  <c r="Z74" i="2" s="1"/>
  <c r="W74" i="2"/>
  <c r="V74" i="2"/>
  <c r="T74" i="2"/>
  <c r="R74" i="2"/>
  <c r="O74" i="2"/>
  <c r="L74" i="2"/>
  <c r="J74" i="2"/>
  <c r="I74" i="2"/>
  <c r="G74" i="2"/>
  <c r="E74" i="2"/>
  <c r="D74" i="2"/>
  <c r="B74" i="2"/>
  <c r="EO73" i="2"/>
  <c r="EC73" i="2"/>
  <c r="EB73" i="2"/>
  <c r="EA73" i="2"/>
  <c r="DZ73" i="2"/>
  <c r="DY73" i="2"/>
  <c r="DX73" i="2"/>
  <c r="DW73" i="2"/>
  <c r="DV73" i="2"/>
  <c r="DU73" i="2"/>
  <c r="DT73" i="2"/>
  <c r="DS73" i="2"/>
  <c r="DR73" i="2"/>
  <c r="DQ73" i="2"/>
  <c r="DP73" i="2"/>
  <c r="DO73" i="2"/>
  <c r="DN73" i="2"/>
  <c r="DM73" i="2"/>
  <c r="DL73" i="2"/>
  <c r="DK73" i="2"/>
  <c r="DJ73" i="2"/>
  <c r="DI73" i="2"/>
  <c r="DH73" i="2"/>
  <c r="DG73" i="2"/>
  <c r="DF73" i="2"/>
  <c r="DE73" i="2"/>
  <c r="DD73" i="2"/>
  <c r="DC73" i="2"/>
  <c r="DB73" i="2"/>
  <c r="DA73" i="2"/>
  <c r="CZ73" i="2"/>
  <c r="CY73" i="2"/>
  <c r="CX73" i="2"/>
  <c r="CW73" i="2"/>
  <c r="CV73" i="2"/>
  <c r="CU73" i="2"/>
  <c r="CT73" i="2"/>
  <c r="CS73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E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EO72" i="2"/>
  <c r="EA72" i="2"/>
  <c r="DK72" i="2"/>
  <c r="DJ72" i="2"/>
  <c r="DE72" i="2"/>
  <c r="DD72" i="2"/>
  <c r="DC72" i="2"/>
  <c r="DB72" i="2"/>
  <c r="DA72" i="2"/>
  <c r="CZ72" i="2"/>
  <c r="CY72" i="2"/>
  <c r="CX72" i="2"/>
  <c r="CW72" i="2"/>
  <c r="CV72" i="2"/>
  <c r="CU72" i="2"/>
  <c r="CT72" i="2"/>
  <c r="CS72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E72" i="2"/>
  <c r="X72" i="2"/>
  <c r="Z72" i="2" s="1"/>
  <c r="V72" i="2"/>
  <c r="T72" i="2"/>
  <c r="P72" i="2"/>
  <c r="N72" i="2"/>
  <c r="J72" i="2"/>
  <c r="H72" i="2"/>
  <c r="F72" i="2"/>
  <c r="D72" i="2"/>
  <c r="C72" i="2"/>
  <c r="AG72" i="2" s="1"/>
  <c r="BV71" i="2"/>
  <c r="AX71" i="2"/>
  <c r="AG71" i="2"/>
  <c r="AE71" i="2"/>
  <c r="AD71" i="2"/>
  <c r="AF71" i="2" s="1"/>
  <c r="Z71" i="2"/>
  <c r="EO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F70" i="2"/>
  <c r="CE70" i="2"/>
  <c r="CD70" i="2"/>
  <c r="CC70" i="2"/>
  <c r="CB70" i="2"/>
  <c r="CA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E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K70" i="2"/>
  <c r="J70" i="2"/>
  <c r="I70" i="2"/>
  <c r="H70" i="2"/>
  <c r="G70" i="2"/>
  <c r="F70" i="2"/>
  <c r="E70" i="2"/>
  <c r="D70" i="2"/>
  <c r="C70" i="2"/>
  <c r="B70" i="2"/>
  <c r="AG69" i="2"/>
  <c r="AE69" i="2"/>
  <c r="AD69" i="2"/>
  <c r="AJ69" i="2" s="1"/>
  <c r="Z69" i="2"/>
  <c r="EO68" i="2"/>
  <c r="EC68" i="2"/>
  <c r="EB68" i="2"/>
  <c r="EA68" i="2"/>
  <c r="DZ68" i="2"/>
  <c r="DY68" i="2"/>
  <c r="DX68" i="2"/>
  <c r="DW68" i="2"/>
  <c r="DV68" i="2"/>
  <c r="DU68" i="2"/>
  <c r="DT68" i="2"/>
  <c r="DS68" i="2"/>
  <c r="DR68" i="2"/>
  <c r="DQ68" i="2"/>
  <c r="DP68" i="2"/>
  <c r="DO68" i="2"/>
  <c r="DN68" i="2"/>
  <c r="DM68" i="2"/>
  <c r="DL68" i="2"/>
  <c r="DK68" i="2"/>
  <c r="DJ68" i="2"/>
  <c r="DI68" i="2"/>
  <c r="DH68" i="2"/>
  <c r="DG68" i="2"/>
  <c r="DF68" i="2"/>
  <c r="DE68" i="2"/>
  <c r="DD68" i="2"/>
  <c r="DC68" i="2"/>
  <c r="DB68" i="2"/>
  <c r="DA68" i="2"/>
  <c r="CZ68" i="2"/>
  <c r="CY68" i="2"/>
  <c r="CX68" i="2"/>
  <c r="CW68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E68" i="2"/>
  <c r="Y68" i="2"/>
  <c r="Z68" i="2" s="1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F68" i="2"/>
  <c r="E68" i="2"/>
  <c r="D68" i="2"/>
  <c r="C68" i="2"/>
  <c r="B68" i="2"/>
  <c r="AG67" i="2"/>
  <c r="AD67" i="2"/>
  <c r="AJ67" i="2" s="1"/>
  <c r="Z67" i="2"/>
  <c r="DP66" i="2"/>
  <c r="CF66" i="2"/>
  <c r="AV66" i="2"/>
  <c r="AE66" i="2"/>
  <c r="AD66" i="2"/>
  <c r="Z66" i="2"/>
  <c r="E66" i="2"/>
  <c r="AG66" i="2" s="1"/>
  <c r="AG65" i="2"/>
  <c r="AE65" i="2"/>
  <c r="AD65" i="2"/>
  <c r="AF65" i="2" s="1"/>
  <c r="Z65" i="2"/>
  <c r="DF64" i="2"/>
  <c r="BV64" i="2"/>
  <c r="AX64" i="2"/>
  <c r="AL64" i="2"/>
  <c r="AE64" i="2"/>
  <c r="Y64" i="2"/>
  <c r="AG64" i="2" s="1"/>
  <c r="X64" i="2"/>
  <c r="N64" i="2"/>
  <c r="EO63" i="2"/>
  <c r="EC63" i="2"/>
  <c r="EB63" i="2"/>
  <c r="EA63" i="2"/>
  <c r="DZ63" i="2"/>
  <c r="DY63" i="2"/>
  <c r="DX63" i="2"/>
  <c r="DW63" i="2"/>
  <c r="DV63" i="2"/>
  <c r="DU63" i="2"/>
  <c r="DT63" i="2"/>
  <c r="DS63" i="2"/>
  <c r="DR63" i="2"/>
  <c r="DQ63" i="2"/>
  <c r="DP63" i="2"/>
  <c r="DO63" i="2"/>
  <c r="DN63" i="2"/>
  <c r="DM63" i="2"/>
  <c r="DL63" i="2"/>
  <c r="DK63" i="2"/>
  <c r="DJ63" i="2"/>
  <c r="DI63" i="2"/>
  <c r="DH63" i="2"/>
  <c r="DG63" i="2"/>
  <c r="DF63" i="2"/>
  <c r="DE63" i="2"/>
  <c r="DD63" i="2"/>
  <c r="DC63" i="2"/>
  <c r="DB63" i="2"/>
  <c r="DA63" i="2"/>
  <c r="CZ63" i="2"/>
  <c r="CY63" i="2"/>
  <c r="CX63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E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I63" i="2"/>
  <c r="H63" i="2"/>
  <c r="G63" i="2"/>
  <c r="F63" i="2"/>
  <c r="E63" i="2"/>
  <c r="D63" i="2"/>
  <c r="C63" i="2"/>
  <c r="B63" i="2"/>
  <c r="CT62" i="2"/>
  <c r="AG62" i="2"/>
  <c r="AE62" i="2"/>
  <c r="AD62" i="2"/>
  <c r="AJ62" i="2" s="1"/>
  <c r="Z62" i="2"/>
  <c r="EO61" i="2"/>
  <c r="EC61" i="2"/>
  <c r="EB61" i="2"/>
  <c r="EA61" i="2"/>
  <c r="DZ61" i="2"/>
  <c r="DY61" i="2"/>
  <c r="DX61" i="2"/>
  <c r="DW61" i="2"/>
  <c r="DV61" i="2"/>
  <c r="DS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Y61" i="2"/>
  <c r="CW61" i="2"/>
  <c r="CV61" i="2"/>
  <c r="CU61" i="2"/>
  <c r="CT61" i="2"/>
  <c r="CS61" i="2"/>
  <c r="CR61" i="2"/>
  <c r="CQ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BZ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B61" i="2"/>
  <c r="BA61" i="2"/>
  <c r="AZ61" i="2"/>
  <c r="AY61" i="2"/>
  <c r="AX61" i="2"/>
  <c r="AW61" i="2"/>
  <c r="AV61" i="2"/>
  <c r="AU61" i="2"/>
  <c r="AT61" i="2"/>
  <c r="AR61" i="2"/>
  <c r="AQ61" i="2"/>
  <c r="AO61" i="2"/>
  <c r="AM61" i="2"/>
  <c r="AL61" i="2"/>
  <c r="AE61" i="2"/>
  <c r="Y61" i="2"/>
  <c r="X61" i="2"/>
  <c r="W61" i="2"/>
  <c r="V61" i="2"/>
  <c r="U61" i="2"/>
  <c r="T61" i="2"/>
  <c r="S61" i="2"/>
  <c r="R61" i="2"/>
  <c r="P61" i="2"/>
  <c r="N61" i="2"/>
  <c r="L61" i="2"/>
  <c r="K61" i="2"/>
  <c r="J61" i="2"/>
  <c r="I61" i="2"/>
  <c r="H61" i="2"/>
  <c r="F61" i="2"/>
  <c r="E61" i="2"/>
  <c r="D61" i="2"/>
  <c r="B61" i="2"/>
  <c r="EO60" i="2"/>
  <c r="EC60" i="2"/>
  <c r="EB60" i="2"/>
  <c r="EA60" i="2"/>
  <c r="DZ60" i="2"/>
  <c r="DY60" i="2"/>
  <c r="DX60" i="2"/>
  <c r="DW60" i="2"/>
  <c r="DV60" i="2"/>
  <c r="DU60" i="2"/>
  <c r="DT60" i="2"/>
  <c r="DS60" i="2"/>
  <c r="DR60" i="2"/>
  <c r="DQ60" i="2"/>
  <c r="DP60" i="2"/>
  <c r="DO60" i="2"/>
  <c r="DN60" i="2"/>
  <c r="DM60" i="2"/>
  <c r="DL60" i="2"/>
  <c r="DK60" i="2"/>
  <c r="DJ60" i="2"/>
  <c r="DI60" i="2"/>
  <c r="DH60" i="2"/>
  <c r="DG60" i="2"/>
  <c r="DF60" i="2"/>
  <c r="DE60" i="2"/>
  <c r="DD60" i="2"/>
  <c r="DC60" i="2"/>
  <c r="DB60" i="2"/>
  <c r="DA60" i="2"/>
  <c r="CZ60" i="2"/>
  <c r="CY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E60" i="2"/>
  <c r="Y60" i="2"/>
  <c r="X60" i="2"/>
  <c r="W60" i="2"/>
  <c r="V60" i="2"/>
  <c r="U60" i="2"/>
  <c r="T60" i="2"/>
  <c r="S60" i="2"/>
  <c r="R60" i="2"/>
  <c r="Q60" i="2"/>
  <c r="P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D58" i="2"/>
  <c r="EO54" i="2"/>
  <c r="EN54" i="2"/>
  <c r="EM54" i="2"/>
  <c r="EL54" i="2"/>
  <c r="EK54" i="2"/>
  <c r="EJ54" i="2"/>
  <c r="EI54" i="2"/>
  <c r="EH54" i="2"/>
  <c r="EG54" i="2"/>
  <c r="EF54" i="2"/>
  <c r="EE54" i="2"/>
  <c r="ED54" i="2"/>
  <c r="EC54" i="2"/>
  <c r="EB54" i="2"/>
  <c r="EA54" i="2"/>
  <c r="DZ54" i="2"/>
  <c r="DY54" i="2"/>
  <c r="DX54" i="2"/>
  <c r="DW54" i="2"/>
  <c r="DV54" i="2"/>
  <c r="DU54" i="2"/>
  <c r="DT54" i="2"/>
  <c r="DS54" i="2"/>
  <c r="DR54" i="2"/>
  <c r="DQ54" i="2"/>
  <c r="DP54" i="2"/>
  <c r="DO54" i="2"/>
  <c r="DN54" i="2"/>
  <c r="DM54" i="2"/>
  <c r="DL54" i="2"/>
  <c r="DK54" i="2"/>
  <c r="DJ54" i="2"/>
  <c r="DI54" i="2"/>
  <c r="DH54" i="2"/>
  <c r="DG54" i="2"/>
  <c r="DF54" i="2"/>
  <c r="DE54" i="2"/>
  <c r="DD54" i="2"/>
  <c r="DC54" i="2"/>
  <c r="DB54" i="2"/>
  <c r="DA54" i="2"/>
  <c r="CZ54" i="2"/>
  <c r="CY54" i="2"/>
  <c r="CX54" i="2"/>
  <c r="CW54" i="2"/>
  <c r="CV54" i="2"/>
  <c r="CU54" i="2"/>
  <c r="CT54" i="2"/>
  <c r="AI54" i="2"/>
  <c r="AG53" i="2"/>
  <c r="AE53" i="2"/>
  <c r="AD53" i="2"/>
  <c r="Z53" i="2"/>
  <c r="AG52" i="2"/>
  <c r="AE52" i="2"/>
  <c r="AD52" i="2"/>
  <c r="Z52" i="2"/>
  <c r="AG51" i="2"/>
  <c r="AE51" i="2"/>
  <c r="AD51" i="2"/>
  <c r="Z51" i="2"/>
  <c r="EN49" i="2"/>
  <c r="EM49" i="2"/>
  <c r="EL49" i="2"/>
  <c r="EK49" i="2"/>
  <c r="EJ49" i="2"/>
  <c r="EI49" i="2"/>
  <c r="EH49" i="2"/>
  <c r="EG49" i="2"/>
  <c r="EF49" i="2"/>
  <c r="EE49" i="2"/>
  <c r="ED49" i="2"/>
  <c r="DZ49" i="2"/>
  <c r="AI49" i="2"/>
  <c r="DE48" i="2"/>
  <c r="DD48" i="2"/>
  <c r="CT48" i="2"/>
  <c r="CR48" i="2"/>
  <c r="BV48" i="2"/>
  <c r="AG48" i="2"/>
  <c r="AE48" i="2"/>
  <c r="AD48" i="2"/>
  <c r="Z48" i="2"/>
  <c r="AG47" i="2"/>
  <c r="AE47" i="2"/>
  <c r="AD47" i="2"/>
  <c r="Z47" i="2"/>
  <c r="AG46" i="2"/>
  <c r="AE46" i="2"/>
  <c r="AD46" i="2"/>
  <c r="AJ46" i="2" s="1"/>
  <c r="Z46" i="2"/>
  <c r="AG45" i="2"/>
  <c r="AE45" i="2"/>
  <c r="AD45" i="2"/>
  <c r="AJ45" i="2" s="1"/>
  <c r="Z45" i="2"/>
  <c r="EC44" i="2"/>
  <c r="EB44" i="2"/>
  <c r="EA44" i="2"/>
  <c r="DX44" i="2"/>
  <c r="DW44" i="2"/>
  <c r="DV44" i="2"/>
  <c r="DU44" i="2"/>
  <c r="DQ44" i="2"/>
  <c r="DP44" i="2"/>
  <c r="DN44" i="2"/>
  <c r="DL44" i="2"/>
  <c r="DK44" i="2"/>
  <c r="DJ44" i="2"/>
  <c r="DF44" i="2"/>
  <c r="DF49" i="2" s="1"/>
  <c r="DE44" i="2"/>
  <c r="DD44" i="2"/>
  <c r="DB44" i="2"/>
  <c r="CY44" i="2"/>
  <c r="CX44" i="2"/>
  <c r="CW44" i="2"/>
  <c r="CV44" i="2"/>
  <c r="CU44" i="2"/>
  <c r="CT44" i="2"/>
  <c r="CS44" i="2"/>
  <c r="CR44" i="2"/>
  <c r="CQ44" i="2"/>
  <c r="CP44" i="2"/>
  <c r="CO44" i="2"/>
  <c r="CO49" i="2" s="1"/>
  <c r="CN44" i="2"/>
  <c r="CM44" i="2"/>
  <c r="CL44" i="2"/>
  <c r="CK44" i="2"/>
  <c r="CJ44" i="2"/>
  <c r="CJ49" i="2" s="1"/>
  <c r="CI44" i="2"/>
  <c r="CH44" i="2"/>
  <c r="CH49" i="2" s="1"/>
  <c r="CG44" i="2"/>
  <c r="CF44" i="2"/>
  <c r="CE44" i="2"/>
  <c r="CD44" i="2"/>
  <c r="CC44" i="2"/>
  <c r="CC49" i="2" s="1"/>
  <c r="CB44" i="2"/>
  <c r="CA44" i="2"/>
  <c r="BZ44" i="2"/>
  <c r="BY44" i="2"/>
  <c r="BX44" i="2"/>
  <c r="BW44" i="2"/>
  <c r="BV44" i="2"/>
  <c r="BU44" i="2"/>
  <c r="BT44" i="2"/>
  <c r="BS44" i="2"/>
  <c r="BR44" i="2"/>
  <c r="BQ44" i="2"/>
  <c r="BQ49" i="2" s="1"/>
  <c r="BP44" i="2"/>
  <c r="BO44" i="2"/>
  <c r="BN44" i="2"/>
  <c r="BM44" i="2"/>
  <c r="BK44" i="2"/>
  <c r="BJ44" i="2"/>
  <c r="BI44" i="2"/>
  <c r="BH44" i="2"/>
  <c r="BG44" i="2"/>
  <c r="BF44" i="2"/>
  <c r="BE44" i="2"/>
  <c r="BD44" i="2"/>
  <c r="BD49" i="2" s="1"/>
  <c r="BC44" i="2"/>
  <c r="BB44" i="2"/>
  <c r="BA44" i="2"/>
  <c r="AY44" i="2"/>
  <c r="AX44" i="2"/>
  <c r="AW44" i="2"/>
  <c r="AV44" i="2"/>
  <c r="AU44" i="2"/>
  <c r="AT44" i="2"/>
  <c r="AS44" i="2"/>
  <c r="AR44" i="2"/>
  <c r="AR49" i="2" s="1"/>
  <c r="AQ44" i="2"/>
  <c r="AP44" i="2"/>
  <c r="AO44" i="2"/>
  <c r="AN44" i="2"/>
  <c r="AM44" i="2"/>
  <c r="AL44" i="2"/>
  <c r="AE44" i="2"/>
  <c r="Y44" i="2"/>
  <c r="X44" i="2"/>
  <c r="W44" i="2"/>
  <c r="V44" i="2"/>
  <c r="V49" i="2" s="1"/>
  <c r="T44" i="2"/>
  <c r="T49" i="2" s="1"/>
  <c r="S44" i="2"/>
  <c r="R44" i="2"/>
  <c r="R49" i="2" s="1"/>
  <c r="Q44" i="2"/>
  <c r="P44" i="2"/>
  <c r="O44" i="2"/>
  <c r="N44" i="2"/>
  <c r="N49" i="2" s="1"/>
  <c r="M44" i="2"/>
  <c r="L44" i="2"/>
  <c r="L49" i="2" s="1"/>
  <c r="K44" i="2"/>
  <c r="K49" i="2" s="1"/>
  <c r="J44" i="2"/>
  <c r="I44" i="2"/>
  <c r="H44" i="2"/>
  <c r="G44" i="2"/>
  <c r="F44" i="2"/>
  <c r="E44" i="2"/>
  <c r="D44" i="2"/>
  <c r="B44" i="2"/>
  <c r="EO43" i="2"/>
  <c r="EC43" i="2"/>
  <c r="EB43" i="2"/>
  <c r="DY43" i="2"/>
  <c r="DV43" i="2"/>
  <c r="DT43" i="2"/>
  <c r="DS43" i="2"/>
  <c r="DS49" i="2" s="1"/>
  <c r="AG43" i="2"/>
  <c r="AE43" i="2"/>
  <c r="AD43" i="2"/>
  <c r="Z43" i="2"/>
  <c r="EO42" i="2"/>
  <c r="EC42" i="2"/>
  <c r="EB42" i="2"/>
  <c r="EA42" i="2"/>
  <c r="DY42" i="2"/>
  <c r="DW42" i="2"/>
  <c r="DV42" i="2"/>
  <c r="DU42" i="2"/>
  <c r="DT42" i="2"/>
  <c r="DR42" i="2"/>
  <c r="DR49" i="2" s="1"/>
  <c r="AG42" i="2"/>
  <c r="AE42" i="2"/>
  <c r="AD42" i="2"/>
  <c r="Z42" i="2"/>
  <c r="DQ41" i="2"/>
  <c r="DP41" i="2"/>
  <c r="DN41" i="2"/>
  <c r="DM41" i="2"/>
  <c r="DL41" i="2"/>
  <c r="DK41" i="2"/>
  <c r="DI41" i="2"/>
  <c r="DH41" i="2"/>
  <c r="DH49" i="2" s="1"/>
  <c r="DG41" i="2"/>
  <c r="DG49" i="2" s="1"/>
  <c r="DE41" i="2"/>
  <c r="DD41" i="2"/>
  <c r="DC41" i="2"/>
  <c r="DB41" i="2"/>
  <c r="CY41" i="2"/>
  <c r="CW41" i="2"/>
  <c r="CV41" i="2"/>
  <c r="CT41" i="2"/>
  <c r="CS41" i="2"/>
  <c r="CQ41" i="2"/>
  <c r="CP41" i="2"/>
  <c r="CP49" i="2" s="1"/>
  <c r="CN41" i="2"/>
  <c r="CM41" i="2"/>
  <c r="CL41" i="2"/>
  <c r="CK41" i="2"/>
  <c r="CI41" i="2"/>
  <c r="CG41" i="2"/>
  <c r="CF41" i="2"/>
  <c r="CE41" i="2"/>
  <c r="CD41" i="2"/>
  <c r="CD49" i="2" s="1"/>
  <c r="CB41" i="2"/>
  <c r="CA41" i="2"/>
  <c r="BY41" i="2"/>
  <c r="BY49" i="2" s="1"/>
  <c r="BX41" i="2"/>
  <c r="BW41" i="2"/>
  <c r="BU41" i="2"/>
  <c r="BT41" i="2"/>
  <c r="BS41" i="2"/>
  <c r="BR41" i="2"/>
  <c r="BP41" i="2"/>
  <c r="BO41" i="2"/>
  <c r="BN41" i="2"/>
  <c r="BN49" i="2" s="1"/>
  <c r="BM41" i="2"/>
  <c r="BK41" i="2"/>
  <c r="BJ41" i="2"/>
  <c r="BH41" i="2"/>
  <c r="BG41" i="2"/>
  <c r="BF41" i="2"/>
  <c r="BE41" i="2"/>
  <c r="BC41" i="2"/>
  <c r="BB41" i="2"/>
  <c r="BA41" i="2"/>
  <c r="AZ41" i="2"/>
  <c r="AZ49" i="2" s="1"/>
  <c r="AY41" i="2"/>
  <c r="AX41" i="2"/>
  <c r="AW41" i="2"/>
  <c r="AV41" i="2"/>
  <c r="AU41" i="2"/>
  <c r="AT41" i="2"/>
  <c r="AS41" i="2"/>
  <c r="AQ41" i="2"/>
  <c r="AP41" i="2"/>
  <c r="AO41" i="2"/>
  <c r="AN41" i="2"/>
  <c r="AM41" i="2"/>
  <c r="AL41" i="2"/>
  <c r="AE41" i="2"/>
  <c r="Y41" i="2"/>
  <c r="W41" i="2"/>
  <c r="W49" i="2" s="1"/>
  <c r="U41" i="2"/>
  <c r="S41" i="2"/>
  <c r="S49" i="2" s="1"/>
  <c r="Q41" i="2"/>
  <c r="P41" i="2"/>
  <c r="P49" i="2" s="1"/>
  <c r="O41" i="2"/>
  <c r="M41" i="2"/>
  <c r="J41" i="2"/>
  <c r="I41" i="2"/>
  <c r="H41" i="2"/>
  <c r="G41" i="2"/>
  <c r="F41" i="2"/>
  <c r="D41" i="2"/>
  <c r="D49" i="2" s="1"/>
  <c r="C41" i="2"/>
  <c r="C49" i="2" s="1"/>
  <c r="B41" i="2"/>
  <c r="B49" i="2" s="1"/>
  <c r="DQ40" i="2"/>
  <c r="DN40" i="2"/>
  <c r="DM40" i="2"/>
  <c r="DL40" i="2"/>
  <c r="DK40" i="2"/>
  <c r="DJ40" i="2"/>
  <c r="DJ49" i="2" s="1"/>
  <c r="DI40" i="2"/>
  <c r="DB40" i="2"/>
  <c r="DA40" i="2"/>
  <c r="CY40" i="2"/>
  <c r="CX40" i="2"/>
  <c r="CW40" i="2"/>
  <c r="CL40" i="2"/>
  <c r="CI40" i="2"/>
  <c r="BR40" i="2"/>
  <c r="BP40" i="2"/>
  <c r="AE40" i="2"/>
  <c r="AD40" i="2"/>
  <c r="AJ40" i="2" s="1"/>
  <c r="Z40" i="2"/>
  <c r="I40" i="2"/>
  <c r="G40" i="2"/>
  <c r="AG39" i="2"/>
  <c r="AE39" i="2"/>
  <c r="AD39" i="2"/>
  <c r="Z39" i="2"/>
  <c r="AG38" i="2"/>
  <c r="AE38" i="2"/>
  <c r="AD38" i="2"/>
  <c r="AJ38" i="2" s="1"/>
  <c r="Z38" i="2"/>
  <c r="EB37" i="2"/>
  <c r="EA37" i="2"/>
  <c r="DW37" i="2"/>
  <c r="DK37" i="2"/>
  <c r="AG37" i="2"/>
  <c r="AE37" i="2"/>
  <c r="AD37" i="2"/>
  <c r="Z37" i="2"/>
  <c r="EC36" i="2"/>
  <c r="EB36" i="2"/>
  <c r="EA36" i="2"/>
  <c r="DX36" i="2"/>
  <c r="DU36" i="2"/>
  <c r="DQ36" i="2"/>
  <c r="DP36" i="2"/>
  <c r="DO36" i="2"/>
  <c r="DO49" i="2" s="1"/>
  <c r="DM36" i="2"/>
  <c r="DI36" i="2"/>
  <c r="DI49" i="2" s="1"/>
  <c r="DE36" i="2"/>
  <c r="DD36" i="2"/>
  <c r="DC36" i="2"/>
  <c r="DC49" i="2" s="1"/>
  <c r="DA36" i="2"/>
  <c r="DA49" i="2" s="1"/>
  <c r="CZ36" i="2"/>
  <c r="CZ49" i="2" s="1"/>
  <c r="CY36" i="2"/>
  <c r="CX36" i="2"/>
  <c r="CW36" i="2"/>
  <c r="CV36" i="2"/>
  <c r="CU36" i="2"/>
  <c r="CT36" i="2"/>
  <c r="CS36" i="2"/>
  <c r="CR36" i="2"/>
  <c r="CM36" i="2"/>
  <c r="CL36" i="2"/>
  <c r="CK36" i="2"/>
  <c r="CI36" i="2"/>
  <c r="CG36" i="2"/>
  <c r="CF36" i="2"/>
  <c r="CE36" i="2"/>
  <c r="CA36" i="2"/>
  <c r="BZ36" i="2"/>
  <c r="BU36" i="2"/>
  <c r="BT36" i="2"/>
  <c r="BS36" i="2"/>
  <c r="BP36" i="2"/>
  <c r="BO36" i="2"/>
  <c r="BL36" i="2"/>
  <c r="BL49" i="2" s="1"/>
  <c r="BI36" i="2"/>
  <c r="BH36" i="2"/>
  <c r="BG36" i="2"/>
  <c r="AY36" i="2"/>
  <c r="AX36" i="2"/>
  <c r="AM36" i="2"/>
  <c r="AE36" i="2"/>
  <c r="AD36" i="2"/>
  <c r="AJ36" i="2" s="1"/>
  <c r="Z36" i="2"/>
  <c r="U36" i="2"/>
  <c r="I36" i="2"/>
  <c r="AD34" i="2"/>
  <c r="EN31" i="2"/>
  <c r="EM31" i="2"/>
  <c r="EL31" i="2"/>
  <c r="EK31" i="2"/>
  <c r="EJ31" i="2"/>
  <c r="EI31" i="2"/>
  <c r="EH31" i="2"/>
  <c r="EG31" i="2"/>
  <c r="EF31" i="2"/>
  <c r="EE31" i="2"/>
  <c r="ED31" i="2"/>
  <c r="DW31" i="2"/>
  <c r="DF31" i="2"/>
  <c r="BI31" i="2"/>
  <c r="AI31" i="2"/>
  <c r="U31" i="2"/>
  <c r="T31" i="2"/>
  <c r="R31" i="2"/>
  <c r="Q31" i="2"/>
  <c r="I31" i="2"/>
  <c r="G31" i="2"/>
  <c r="D31" i="2"/>
  <c r="EO30" i="2"/>
  <c r="EO31" i="2" s="1"/>
  <c r="EC30" i="2"/>
  <c r="EC31" i="2" s="1"/>
  <c r="EB30" i="2"/>
  <c r="EB31" i="2" s="1"/>
  <c r="EA30" i="2"/>
  <c r="EA31" i="2" s="1"/>
  <c r="DZ30" i="2"/>
  <c r="DZ31" i="2" s="1"/>
  <c r="DY30" i="2"/>
  <c r="DY31" i="2" s="1"/>
  <c r="DX30" i="2"/>
  <c r="DX31" i="2" s="1"/>
  <c r="DV30" i="2"/>
  <c r="DV31" i="2" s="1"/>
  <c r="DU30" i="2"/>
  <c r="DU31" i="2" s="1"/>
  <c r="DT30" i="2"/>
  <c r="DT31" i="2" s="1"/>
  <c r="DS30" i="2"/>
  <c r="DS31" i="2" s="1"/>
  <c r="DR30" i="2"/>
  <c r="DQ30" i="2"/>
  <c r="DQ31" i="2" s="1"/>
  <c r="DP30" i="2"/>
  <c r="DP31" i="2" s="1"/>
  <c r="DO30" i="2"/>
  <c r="DO31" i="2" s="1"/>
  <c r="DN30" i="2"/>
  <c r="DN31" i="2" s="1"/>
  <c r="DM30" i="2"/>
  <c r="DM31" i="2" s="1"/>
  <c r="DL30" i="2"/>
  <c r="DL31" i="2" s="1"/>
  <c r="DK30" i="2"/>
  <c r="DK31" i="2" s="1"/>
  <c r="DJ30" i="2"/>
  <c r="DJ31" i="2" s="1"/>
  <c r="DI30" i="2"/>
  <c r="DI31" i="2" s="1"/>
  <c r="DH30" i="2"/>
  <c r="DH31" i="2" s="1"/>
  <c r="DG30" i="2"/>
  <c r="DG31" i="2" s="1"/>
  <c r="DE30" i="2"/>
  <c r="DE31" i="2" s="1"/>
  <c r="DD30" i="2"/>
  <c r="DD31" i="2" s="1"/>
  <c r="DC30" i="2"/>
  <c r="DC31" i="2" s="1"/>
  <c r="DB30" i="2"/>
  <c r="DB31" i="2" s="1"/>
  <c r="DA30" i="2"/>
  <c r="DA31" i="2" s="1"/>
  <c r="CZ30" i="2"/>
  <c r="CZ31" i="2" s="1"/>
  <c r="CY30" i="2"/>
  <c r="CY31" i="2" s="1"/>
  <c r="CX30" i="2"/>
  <c r="CX31" i="2" s="1"/>
  <c r="CW30" i="2"/>
  <c r="CW31" i="2" s="1"/>
  <c r="CV30" i="2"/>
  <c r="CV31" i="2" s="1"/>
  <c r="CU30" i="2"/>
  <c r="CU31" i="2" s="1"/>
  <c r="CT30" i="2"/>
  <c r="CS30" i="2"/>
  <c r="CS31" i="2" s="1"/>
  <c r="CR30" i="2"/>
  <c r="CR31" i="2" s="1"/>
  <c r="CQ30" i="2"/>
  <c r="CQ31" i="2" s="1"/>
  <c r="CP30" i="2"/>
  <c r="CP31" i="2" s="1"/>
  <c r="CO30" i="2"/>
  <c r="CO31" i="2" s="1"/>
  <c r="CN30" i="2"/>
  <c r="CN31" i="2" s="1"/>
  <c r="CM30" i="2"/>
  <c r="CM31" i="2" s="1"/>
  <c r="CL30" i="2"/>
  <c r="CL31" i="2" s="1"/>
  <c r="CK30" i="2"/>
  <c r="CK31" i="2" s="1"/>
  <c r="CJ30" i="2"/>
  <c r="CJ31" i="2" s="1"/>
  <c r="CI30" i="2"/>
  <c r="CI31" i="2" s="1"/>
  <c r="CH30" i="2"/>
  <c r="CG30" i="2"/>
  <c r="CG31" i="2" s="1"/>
  <c r="CF30" i="2"/>
  <c r="CF31" i="2" s="1"/>
  <c r="CE30" i="2"/>
  <c r="CE31" i="2" s="1"/>
  <c r="CD30" i="2"/>
  <c r="CD31" i="2" s="1"/>
  <c r="CC30" i="2"/>
  <c r="CC31" i="2" s="1"/>
  <c r="CB30" i="2"/>
  <c r="CB31" i="2" s="1"/>
  <c r="CA30" i="2"/>
  <c r="CA31" i="2" s="1"/>
  <c r="BZ30" i="2"/>
  <c r="BZ31" i="2" s="1"/>
  <c r="BY30" i="2"/>
  <c r="BY31" i="2" s="1"/>
  <c r="BX30" i="2"/>
  <c r="BX31" i="2" s="1"/>
  <c r="BW30" i="2"/>
  <c r="BW31" i="2" s="1"/>
  <c r="BV30" i="2"/>
  <c r="BV31" i="2" s="1"/>
  <c r="BU30" i="2"/>
  <c r="BU31" i="2" s="1"/>
  <c r="BT30" i="2"/>
  <c r="BT31" i="2" s="1"/>
  <c r="BS30" i="2"/>
  <c r="BS31" i="2" s="1"/>
  <c r="BR30" i="2"/>
  <c r="BR31" i="2" s="1"/>
  <c r="BQ30" i="2"/>
  <c r="BQ31" i="2" s="1"/>
  <c r="BP30" i="2"/>
  <c r="BP31" i="2" s="1"/>
  <c r="BO30" i="2"/>
  <c r="BO31" i="2" s="1"/>
  <c r="BN30" i="2"/>
  <c r="BN31" i="2" s="1"/>
  <c r="BM30" i="2"/>
  <c r="BM31" i="2" s="1"/>
  <c r="BL30" i="2"/>
  <c r="BL31" i="2" s="1"/>
  <c r="BK30" i="2"/>
  <c r="BK31" i="2" s="1"/>
  <c r="BJ30" i="2"/>
  <c r="BJ31" i="2" s="1"/>
  <c r="BH30" i="2"/>
  <c r="BH31" i="2" s="1"/>
  <c r="BG30" i="2"/>
  <c r="BG31" i="2" s="1"/>
  <c r="BF30" i="2"/>
  <c r="BF31" i="2" s="1"/>
  <c r="BE30" i="2"/>
  <c r="BE31" i="2" s="1"/>
  <c r="BD30" i="2"/>
  <c r="BD31" i="2" s="1"/>
  <c r="BC30" i="2"/>
  <c r="BC31" i="2" s="1"/>
  <c r="BB30" i="2"/>
  <c r="BB31" i="2" s="1"/>
  <c r="BA30" i="2"/>
  <c r="BA31" i="2" s="1"/>
  <c r="AZ30" i="2"/>
  <c r="AZ31" i="2" s="1"/>
  <c r="AY30" i="2"/>
  <c r="AY31" i="2" s="1"/>
  <c r="AX30" i="2"/>
  <c r="AW30" i="2"/>
  <c r="AW31" i="2" s="1"/>
  <c r="AV30" i="2"/>
  <c r="AV31" i="2" s="1"/>
  <c r="AU30" i="2"/>
  <c r="AU31" i="2" s="1"/>
  <c r="AT30" i="2"/>
  <c r="AT31" i="2" s="1"/>
  <c r="AS30" i="2"/>
  <c r="AS31" i="2" s="1"/>
  <c r="AR30" i="2"/>
  <c r="AR31" i="2" s="1"/>
  <c r="AQ30" i="2"/>
  <c r="AQ31" i="2" s="1"/>
  <c r="AP30" i="2"/>
  <c r="AP31" i="2" s="1"/>
  <c r="AO30" i="2"/>
  <c r="AO31" i="2" s="1"/>
  <c r="AN30" i="2"/>
  <c r="AN31" i="2" s="1"/>
  <c r="AM30" i="2"/>
  <c r="AM31" i="2" s="1"/>
  <c r="AL30" i="2"/>
  <c r="AE30" i="2"/>
  <c r="Y30" i="2"/>
  <c r="Y31" i="2" s="1"/>
  <c r="X30" i="2"/>
  <c r="W30" i="2"/>
  <c r="W31" i="2" s="1"/>
  <c r="V30" i="2"/>
  <c r="V31" i="2" s="1"/>
  <c r="S30" i="2"/>
  <c r="S31" i="2" s="1"/>
  <c r="P30" i="2"/>
  <c r="P31" i="2" s="1"/>
  <c r="O30" i="2"/>
  <c r="O31" i="2" s="1"/>
  <c r="N30" i="2"/>
  <c r="N31" i="2" s="1"/>
  <c r="M30" i="2"/>
  <c r="M31" i="2" s="1"/>
  <c r="L30" i="2"/>
  <c r="L31" i="2" s="1"/>
  <c r="K30" i="2"/>
  <c r="K31" i="2" s="1"/>
  <c r="J30" i="2"/>
  <c r="J31" i="2" s="1"/>
  <c r="H30" i="2"/>
  <c r="H31" i="2" s="1"/>
  <c r="F30" i="2"/>
  <c r="F31" i="2" s="1"/>
  <c r="E30" i="2"/>
  <c r="E31" i="2" s="1"/>
  <c r="C30" i="2"/>
  <c r="C31" i="2" s="1"/>
  <c r="B30" i="2"/>
  <c r="DR29" i="2"/>
  <c r="CT29" i="2"/>
  <c r="CH29" i="2"/>
  <c r="AX29" i="2"/>
  <c r="AL29" i="2"/>
  <c r="AG29" i="2"/>
  <c r="AE29" i="2"/>
  <c r="AD29" i="2"/>
  <c r="AJ29" i="2" s="1"/>
  <c r="Z29" i="2"/>
  <c r="DR28" i="2"/>
  <c r="CT28" i="2"/>
  <c r="CH28" i="2"/>
  <c r="AX28" i="2"/>
  <c r="AL28" i="2"/>
  <c r="AG28" i="2"/>
  <c r="AE28" i="2"/>
  <c r="AD28" i="2"/>
  <c r="AJ28" i="2" s="1"/>
  <c r="Z28" i="2"/>
  <c r="DR27" i="2"/>
  <c r="CT27" i="2"/>
  <c r="CH27" i="2"/>
  <c r="AX27" i="2"/>
  <c r="AL27" i="2"/>
  <c r="AG27" i="2"/>
  <c r="AE27" i="2"/>
  <c r="AD27" i="2"/>
  <c r="Z27" i="2"/>
  <c r="AG26" i="2"/>
  <c r="AE25" i="2"/>
  <c r="Y25" i="2"/>
  <c r="H25" i="2"/>
  <c r="AD23" i="2"/>
  <c r="EO17" i="2"/>
  <c r="EO19" i="2" s="1"/>
  <c r="EN17" i="2"/>
  <c r="EN19" i="2" s="1"/>
  <c r="EM17" i="2"/>
  <c r="EM19" i="2" s="1"/>
  <c r="EL17" i="2"/>
  <c r="EL19" i="2" s="1"/>
  <c r="EK17" i="2"/>
  <c r="EK19" i="2" s="1"/>
  <c r="EJ17" i="2"/>
  <c r="EJ19" i="2" s="1"/>
  <c r="EI17" i="2"/>
  <c r="EI19" i="2" s="1"/>
  <c r="EH17" i="2"/>
  <c r="EH19" i="2" s="1"/>
  <c r="EG17" i="2"/>
  <c r="EG19" i="2" s="1"/>
  <c r="EF17" i="2"/>
  <c r="EF19" i="2" s="1"/>
  <c r="EE17" i="2"/>
  <c r="EE19" i="2" s="1"/>
  <c r="ED17" i="2"/>
  <c r="ED19" i="2" s="1"/>
  <c r="EC17" i="2"/>
  <c r="EC19" i="2" s="1"/>
  <c r="DZ17" i="2"/>
  <c r="DZ19" i="2" s="1"/>
  <c r="DX17" i="2"/>
  <c r="DX19" i="2" s="1"/>
  <c r="DV17" i="2"/>
  <c r="DV19" i="2" s="1"/>
  <c r="DT17" i="2"/>
  <c r="DT19" i="2" s="1"/>
  <c r="DQ17" i="2"/>
  <c r="DQ19" i="2" s="1"/>
  <c r="DP17" i="2"/>
  <c r="DP19" i="2" s="1"/>
  <c r="DO17" i="2"/>
  <c r="DO19" i="2" s="1"/>
  <c r="DN17" i="2"/>
  <c r="DN19" i="2" s="1"/>
  <c r="DM17" i="2"/>
  <c r="DM19" i="2" s="1"/>
  <c r="DL17" i="2"/>
  <c r="DL19" i="2" s="1"/>
  <c r="DK17" i="2"/>
  <c r="DK19" i="2" s="1"/>
  <c r="DJ17" i="2"/>
  <c r="DJ19" i="2" s="1"/>
  <c r="DF17" i="2"/>
  <c r="DE17" i="2"/>
  <c r="DE19" i="2" s="1"/>
  <c r="CV17" i="2"/>
  <c r="CV19" i="2" s="1"/>
  <c r="CT17" i="2"/>
  <c r="CT19" i="2" s="1"/>
  <c r="CO17" i="2"/>
  <c r="CO19" i="2" s="1"/>
  <c r="CM17" i="2"/>
  <c r="CM19" i="2" s="1"/>
  <c r="CK17" i="2"/>
  <c r="CK19" i="2" s="1"/>
  <c r="CI17" i="2"/>
  <c r="CI19" i="2" s="1"/>
  <c r="CD17" i="2"/>
  <c r="CD19" i="2" s="1"/>
  <c r="BW17" i="2"/>
  <c r="BW19" i="2" s="1"/>
  <c r="AI17" i="2"/>
  <c r="AI19" i="2" s="1"/>
  <c r="X17" i="2"/>
  <c r="X19" i="2" s="1"/>
  <c r="L17" i="2"/>
  <c r="L19" i="2" s="1"/>
  <c r="I17" i="2"/>
  <c r="I19" i="2" s="1"/>
  <c r="DD15" i="2"/>
  <c r="DD17" i="2" s="1"/>
  <c r="DD19" i="2" s="1"/>
  <c r="DC15" i="2"/>
  <c r="DC17" i="2" s="1"/>
  <c r="DC19" i="2" s="1"/>
  <c r="DB15" i="2"/>
  <c r="DB17" i="2" s="1"/>
  <c r="DB19" i="2" s="1"/>
  <c r="DA15" i="2"/>
  <c r="DA17" i="2" s="1"/>
  <c r="DA19" i="2" s="1"/>
  <c r="CZ15" i="2"/>
  <c r="CZ17" i="2" s="1"/>
  <c r="CZ19" i="2" s="1"/>
  <c r="CY15" i="2"/>
  <c r="CY17" i="2" s="1"/>
  <c r="CY19" i="2" s="1"/>
  <c r="CX15" i="2"/>
  <c r="CX17" i="2" s="1"/>
  <c r="CX19" i="2" s="1"/>
  <c r="CW15" i="2"/>
  <c r="CW17" i="2" s="1"/>
  <c r="CW19" i="2" s="1"/>
  <c r="CS15" i="2"/>
  <c r="CS17" i="2" s="1"/>
  <c r="CS19" i="2" s="1"/>
  <c r="CR15" i="2"/>
  <c r="CR17" i="2" s="1"/>
  <c r="CR19" i="2" s="1"/>
  <c r="CQ15" i="2"/>
  <c r="CQ17" i="2" s="1"/>
  <c r="CQ19" i="2" s="1"/>
  <c r="CP15" i="2"/>
  <c r="CP17" i="2" s="1"/>
  <c r="CP19" i="2" s="1"/>
  <c r="CN15" i="2"/>
  <c r="CN17" i="2" s="1"/>
  <c r="CL15" i="2"/>
  <c r="CL17" i="2" s="1"/>
  <c r="CL19" i="2" s="1"/>
  <c r="CJ15" i="2"/>
  <c r="CJ17" i="2" s="1"/>
  <c r="CJ19" i="2" s="1"/>
  <c r="CH15" i="2"/>
  <c r="CH17" i="2" s="1"/>
  <c r="CG15" i="2"/>
  <c r="CG17" i="2" s="1"/>
  <c r="CG19" i="2" s="1"/>
  <c r="CF15" i="2"/>
  <c r="CF17" i="2" s="1"/>
  <c r="CF19" i="2" s="1"/>
  <c r="CE15" i="2"/>
  <c r="CE17" i="2" s="1"/>
  <c r="CE19" i="2" s="1"/>
  <c r="CC15" i="2"/>
  <c r="CC17" i="2" s="1"/>
  <c r="CC19" i="2" s="1"/>
  <c r="CB15" i="2"/>
  <c r="CB17" i="2" s="1"/>
  <c r="CB19" i="2" s="1"/>
  <c r="CA15" i="2"/>
  <c r="CA17" i="2" s="1"/>
  <c r="CA19" i="2" s="1"/>
  <c r="BZ15" i="2"/>
  <c r="BZ17" i="2" s="1"/>
  <c r="BZ19" i="2" s="1"/>
  <c r="BY15" i="2"/>
  <c r="BY17" i="2" s="1"/>
  <c r="BY19" i="2" s="1"/>
  <c r="BX15" i="2"/>
  <c r="BX17" i="2" s="1"/>
  <c r="BX19" i="2" s="1"/>
  <c r="BU15" i="2"/>
  <c r="BU17" i="2" s="1"/>
  <c r="BU19" i="2" s="1"/>
  <c r="BT15" i="2"/>
  <c r="BT17" i="2" s="1"/>
  <c r="BT19" i="2" s="1"/>
  <c r="BS15" i="2"/>
  <c r="BS17" i="2" s="1"/>
  <c r="BS19" i="2" s="1"/>
  <c r="BR15" i="2"/>
  <c r="BR17" i="2" s="1"/>
  <c r="BR19" i="2" s="1"/>
  <c r="BQ15" i="2"/>
  <c r="BQ17" i="2" s="1"/>
  <c r="BQ19" i="2" s="1"/>
  <c r="BP15" i="2"/>
  <c r="BP17" i="2" s="1"/>
  <c r="BP19" i="2" s="1"/>
  <c r="BO15" i="2"/>
  <c r="BO17" i="2" s="1"/>
  <c r="BO19" i="2" s="1"/>
  <c r="BN15" i="2"/>
  <c r="BN17" i="2" s="1"/>
  <c r="BN19" i="2" s="1"/>
  <c r="BM15" i="2"/>
  <c r="BM17" i="2" s="1"/>
  <c r="BM19" i="2" s="1"/>
  <c r="BL15" i="2"/>
  <c r="BL17" i="2" s="1"/>
  <c r="BL19" i="2" s="1"/>
  <c r="BK15" i="2"/>
  <c r="BK17" i="2" s="1"/>
  <c r="BK19" i="2" s="1"/>
  <c r="BJ15" i="2"/>
  <c r="BJ17" i="2" s="1"/>
  <c r="BJ19" i="2" s="1"/>
  <c r="BI15" i="2"/>
  <c r="BI17" i="2" s="1"/>
  <c r="BI19" i="2" s="1"/>
  <c r="BH15" i="2"/>
  <c r="BH17" i="2" s="1"/>
  <c r="BH19" i="2" s="1"/>
  <c r="BG15" i="2"/>
  <c r="BG17" i="2" s="1"/>
  <c r="BG19" i="2" s="1"/>
  <c r="BF15" i="2"/>
  <c r="BF17" i="2" s="1"/>
  <c r="BF19" i="2" s="1"/>
  <c r="BE15" i="2"/>
  <c r="BE17" i="2" s="1"/>
  <c r="BE19" i="2" s="1"/>
  <c r="BD15" i="2"/>
  <c r="BD17" i="2" s="1"/>
  <c r="BD19" i="2" s="1"/>
  <c r="BC15" i="2"/>
  <c r="BC17" i="2" s="1"/>
  <c r="BC19" i="2" s="1"/>
  <c r="BB15" i="2"/>
  <c r="BB17" i="2" s="1"/>
  <c r="BB19" i="2" s="1"/>
  <c r="BA15" i="2"/>
  <c r="BA17" i="2" s="1"/>
  <c r="BA19" i="2" s="1"/>
  <c r="AZ15" i="2"/>
  <c r="AZ17" i="2" s="1"/>
  <c r="AZ19" i="2" s="1"/>
  <c r="AY15" i="2"/>
  <c r="AY17" i="2" s="1"/>
  <c r="AY19" i="2" s="1"/>
  <c r="AX15" i="2"/>
  <c r="AX17" i="2" s="1"/>
  <c r="AW15" i="2"/>
  <c r="AW17" i="2" s="1"/>
  <c r="AW19" i="2" s="1"/>
  <c r="AV15" i="2"/>
  <c r="AV17" i="2" s="1"/>
  <c r="AV19" i="2" s="1"/>
  <c r="AU15" i="2"/>
  <c r="AU17" i="2" s="1"/>
  <c r="AU19" i="2" s="1"/>
  <c r="AT15" i="2"/>
  <c r="AT17" i="2" s="1"/>
  <c r="AT19" i="2" s="1"/>
  <c r="AS15" i="2"/>
  <c r="AS17" i="2" s="1"/>
  <c r="AS19" i="2" s="1"/>
  <c r="AR15" i="2"/>
  <c r="AR17" i="2" s="1"/>
  <c r="AR19" i="2" s="1"/>
  <c r="AQ15" i="2"/>
  <c r="AQ17" i="2" s="1"/>
  <c r="AQ19" i="2" s="1"/>
  <c r="AP15" i="2"/>
  <c r="AP17" i="2" s="1"/>
  <c r="AP19" i="2" s="1"/>
  <c r="AO15" i="2"/>
  <c r="AO17" i="2" s="1"/>
  <c r="AO19" i="2" s="1"/>
  <c r="AN15" i="2"/>
  <c r="AN17" i="2" s="1"/>
  <c r="AN19" i="2" s="1"/>
  <c r="AM15" i="2"/>
  <c r="AM17" i="2" s="1"/>
  <c r="AM19" i="2" s="1"/>
  <c r="AL15" i="2"/>
  <c r="AL17" i="2" s="1"/>
  <c r="AE15" i="2"/>
  <c r="Y15" i="2"/>
  <c r="Y17" i="2" s="1"/>
  <c r="Y19" i="2" s="1"/>
  <c r="W15" i="2"/>
  <c r="W17" i="2" s="1"/>
  <c r="W19" i="2" s="1"/>
  <c r="V15" i="2"/>
  <c r="V17" i="2" s="1"/>
  <c r="V19" i="2" s="1"/>
  <c r="U15" i="2"/>
  <c r="U17" i="2" s="1"/>
  <c r="U19" i="2" s="1"/>
  <c r="T15" i="2"/>
  <c r="T17" i="2" s="1"/>
  <c r="T19" i="2" s="1"/>
  <c r="S15" i="2"/>
  <c r="S17" i="2" s="1"/>
  <c r="S19" i="2" s="1"/>
  <c r="R15" i="2"/>
  <c r="R17" i="2" s="1"/>
  <c r="R19" i="2" s="1"/>
  <c r="Q15" i="2"/>
  <c r="Q17" i="2" s="1"/>
  <c r="Q19" i="2" s="1"/>
  <c r="P15" i="2"/>
  <c r="P17" i="2" s="1"/>
  <c r="P19" i="2" s="1"/>
  <c r="O15" i="2"/>
  <c r="O17" i="2" s="1"/>
  <c r="O19" i="2" s="1"/>
  <c r="N15" i="2"/>
  <c r="N17" i="2" s="1"/>
  <c r="N19" i="2" s="1"/>
  <c r="M15" i="2"/>
  <c r="M17" i="2" s="1"/>
  <c r="M19" i="2" s="1"/>
  <c r="K15" i="2"/>
  <c r="K17" i="2" s="1"/>
  <c r="K19" i="2" s="1"/>
  <c r="J15" i="2"/>
  <c r="J17" i="2" s="1"/>
  <c r="J19" i="2" s="1"/>
  <c r="H15" i="2"/>
  <c r="H17" i="2" s="1"/>
  <c r="H19" i="2" s="1"/>
  <c r="G15" i="2"/>
  <c r="G17" i="2" s="1"/>
  <c r="G19" i="2" s="1"/>
  <c r="F15" i="2"/>
  <c r="F17" i="2" s="1"/>
  <c r="F19" i="2" s="1"/>
  <c r="E15" i="2"/>
  <c r="E17" i="2" s="1"/>
  <c r="E19" i="2" s="1"/>
  <c r="D15" i="2"/>
  <c r="D17" i="2" s="1"/>
  <c r="D19" i="2" s="1"/>
  <c r="C15" i="2"/>
  <c r="B15" i="2"/>
  <c r="B17" i="2" s="1"/>
  <c r="B19" i="2" s="1"/>
  <c r="AG14" i="2"/>
  <c r="AE14" i="2"/>
  <c r="AD14" i="2"/>
  <c r="Z14" i="2"/>
  <c r="AG13" i="2"/>
  <c r="AE13" i="2"/>
  <c r="AD13" i="2"/>
  <c r="Z13" i="2"/>
  <c r="EB12" i="2"/>
  <c r="EB17" i="2" s="1"/>
  <c r="EB19" i="2" s="1"/>
  <c r="EA12" i="2"/>
  <c r="EA17" i="2" s="1"/>
  <c r="EA19" i="2" s="1"/>
  <c r="DY12" i="2"/>
  <c r="DY17" i="2" s="1"/>
  <c r="DY19" i="2" s="1"/>
  <c r="DW12" i="2"/>
  <c r="DW17" i="2" s="1"/>
  <c r="DW19" i="2" s="1"/>
  <c r="DU12" i="2"/>
  <c r="DU17" i="2" s="1"/>
  <c r="DU19" i="2" s="1"/>
  <c r="DS12" i="2"/>
  <c r="DS17" i="2" s="1"/>
  <c r="DR12" i="2"/>
  <c r="DR17" i="2" s="1"/>
  <c r="DR19" i="2" s="1"/>
  <c r="DI12" i="2"/>
  <c r="DI17" i="2" s="1"/>
  <c r="DI19" i="2" s="1"/>
  <c r="DH12" i="2"/>
  <c r="DH17" i="2" s="1"/>
  <c r="DH19" i="2" s="1"/>
  <c r="DG12" i="2"/>
  <c r="DG17" i="2" s="1"/>
  <c r="DG19" i="2" s="1"/>
  <c r="CU12" i="2"/>
  <c r="CU17" i="2" s="1"/>
  <c r="CU19" i="2" s="1"/>
  <c r="BV12" i="2"/>
  <c r="BV17" i="2" s="1"/>
  <c r="BV19" i="2" s="1"/>
  <c r="AG12" i="2"/>
  <c r="AE12" i="2"/>
  <c r="AD12" i="2"/>
  <c r="Z12" i="2"/>
  <c r="AG11" i="2"/>
  <c r="AE11" i="2"/>
  <c r="AD11" i="2"/>
  <c r="AJ11" i="2" s="1"/>
  <c r="Z11" i="2"/>
  <c r="CN9" i="2"/>
  <c r="AX9" i="2"/>
  <c r="AL9" i="2"/>
  <c r="AG9" i="2"/>
  <c r="AE9" i="2"/>
  <c r="AD9" i="2"/>
  <c r="AJ9" i="2" s="1"/>
  <c r="Z9" i="2"/>
  <c r="DS7" i="2"/>
  <c r="DF7" i="2"/>
  <c r="CH7" i="2"/>
  <c r="AX7" i="2"/>
  <c r="AL7" i="2"/>
  <c r="AG7" i="2"/>
  <c r="AE7" i="2"/>
  <c r="AD7" i="2"/>
  <c r="Z7" i="2"/>
  <c r="AD5" i="2"/>
  <c r="EE82" i="2" l="1"/>
  <c r="EI82" i="2"/>
  <c r="EM82" i="2"/>
  <c r="EM83" i="2" s="1"/>
  <c r="AF69" i="2"/>
  <c r="AG73" i="2"/>
  <c r="AF79" i="2"/>
  <c r="EE83" i="2"/>
  <c r="EI83" i="2"/>
  <c r="P80" i="2"/>
  <c r="AQ80" i="2"/>
  <c r="BC80" i="2"/>
  <c r="BC82" i="2" s="1"/>
  <c r="BC83" i="2" s="1"/>
  <c r="AD68" i="2"/>
  <c r="AF68" i="2" s="1"/>
  <c r="AJ71" i="2"/>
  <c r="AF9" i="2"/>
  <c r="AF13" i="2"/>
  <c r="AF14" i="2"/>
  <c r="BO49" i="2"/>
  <c r="AF43" i="2"/>
  <c r="CM49" i="2"/>
  <c r="Q49" i="2"/>
  <c r="AS49" i="2"/>
  <c r="BF49" i="2"/>
  <c r="AF42" i="2"/>
  <c r="AE17" i="2"/>
  <c r="AE19" i="2" s="1"/>
  <c r="U49" i="2"/>
  <c r="BK49" i="2"/>
  <c r="CQ49" i="2"/>
  <c r="AG68" i="2"/>
  <c r="AF39" i="2"/>
  <c r="AO49" i="2"/>
  <c r="BB49" i="2"/>
  <c r="AF47" i="2"/>
  <c r="AF48" i="2"/>
  <c r="AF62" i="2"/>
  <c r="P82" i="2"/>
  <c r="P83" i="2" s="1"/>
  <c r="Z30" i="2"/>
  <c r="Z31" i="2" s="1"/>
  <c r="CE49" i="2"/>
  <c r="AL49" i="2"/>
  <c r="AP49" i="2"/>
  <c r="BC49" i="2"/>
  <c r="BX49" i="2"/>
  <c r="CN49" i="2"/>
  <c r="T80" i="2"/>
  <c r="T82" i="2" s="1"/>
  <c r="T83" i="2" s="1"/>
  <c r="AM80" i="2"/>
  <c r="AU80" i="2"/>
  <c r="BG80" i="2"/>
  <c r="BO80" i="2"/>
  <c r="BO82" i="2" s="1"/>
  <c r="BO83" i="2" s="1"/>
  <c r="BS80" i="2"/>
  <c r="CA80" i="2"/>
  <c r="CE80" i="2"/>
  <c r="CE82" i="2" s="1"/>
  <c r="CE83" i="2" s="1"/>
  <c r="CM80" i="2"/>
  <c r="CM82" i="2" s="1"/>
  <c r="CM83" i="2" s="1"/>
  <c r="CQ80" i="2"/>
  <c r="CY80" i="2"/>
  <c r="DC80" i="2"/>
  <c r="DK80" i="2"/>
  <c r="DO80" i="2"/>
  <c r="DW80" i="2"/>
  <c r="EA80" i="2"/>
  <c r="AG61" i="2"/>
  <c r="AI82" i="2"/>
  <c r="EG82" i="2"/>
  <c r="EG83" i="2" s="1"/>
  <c r="EK82" i="2"/>
  <c r="EK83" i="2" s="1"/>
  <c r="AY49" i="2"/>
  <c r="CK49" i="2"/>
  <c r="CS49" i="2"/>
  <c r="CW49" i="2"/>
  <c r="DQ49" i="2"/>
  <c r="EA49" i="2"/>
  <c r="AF38" i="2"/>
  <c r="BR49" i="2"/>
  <c r="O49" i="2"/>
  <c r="AU49" i="2"/>
  <c r="BH49" i="2"/>
  <c r="CT49" i="2"/>
  <c r="AV49" i="2"/>
  <c r="BI49" i="2"/>
  <c r="BV49" i="2"/>
  <c r="Z54" i="2"/>
  <c r="Q80" i="2"/>
  <c r="Q82" i="2" s="1"/>
  <c r="Q83" i="2" s="1"/>
  <c r="AD70" i="2"/>
  <c r="AG70" i="2"/>
  <c r="AF77" i="2"/>
  <c r="AG15" i="2"/>
  <c r="AG17" i="2" s="1"/>
  <c r="AG19" i="2" s="1"/>
  <c r="CT31" i="2"/>
  <c r="AF52" i="2"/>
  <c r="Z70" i="2"/>
  <c r="AG76" i="2"/>
  <c r="AM49" i="2"/>
  <c r="BP49" i="2"/>
  <c r="CG49" i="2"/>
  <c r="CY49" i="2"/>
  <c r="CY82" i="2" s="1"/>
  <c r="CY83" i="2" s="1"/>
  <c r="DK49" i="2"/>
  <c r="BU49" i="2"/>
  <c r="DW49" i="2"/>
  <c r="CB49" i="2"/>
  <c r="CL80" i="2"/>
  <c r="CX80" i="2"/>
  <c r="DJ80" i="2"/>
  <c r="DJ82" i="2" s="1"/>
  <c r="DJ83" i="2" s="1"/>
  <c r="Z63" i="2"/>
  <c r="Z73" i="2"/>
  <c r="AJ48" i="2"/>
  <c r="AJ66" i="2"/>
  <c r="AF66" i="2"/>
  <c r="AF7" i="2"/>
  <c r="AG41" i="2"/>
  <c r="Z64" i="2"/>
  <c r="AD64" i="2"/>
  <c r="AF64" i="2" s="1"/>
  <c r="AF12" i="2"/>
  <c r="Z25" i="2"/>
  <c r="AG25" i="2"/>
  <c r="AX31" i="2"/>
  <c r="ED82" i="2"/>
  <c r="EH82" i="2"/>
  <c r="EH83" i="2" s="1"/>
  <c r="AE31" i="2"/>
  <c r="CH31" i="2"/>
  <c r="I49" i="2"/>
  <c r="BG49" i="2"/>
  <c r="CF49" i="2"/>
  <c r="CL49" i="2"/>
  <c r="CL82" i="2" s="1"/>
  <c r="CL83" i="2" s="1"/>
  <c r="CX49" i="2"/>
  <c r="DU49" i="2"/>
  <c r="EC49" i="2"/>
  <c r="AG40" i="2"/>
  <c r="F49" i="2"/>
  <c r="J49" i="2"/>
  <c r="J82" i="2" s="1"/>
  <c r="J83" i="2" s="1"/>
  <c r="Y49" i="2"/>
  <c r="BE49" i="2"/>
  <c r="DV49" i="2"/>
  <c r="M49" i="2"/>
  <c r="BJ49" i="2"/>
  <c r="AF53" i="2"/>
  <c r="D80" i="2"/>
  <c r="D82" i="2" s="1"/>
  <c r="D83" i="2" s="1"/>
  <c r="H80" i="2"/>
  <c r="L80" i="2"/>
  <c r="L82" i="2" s="1"/>
  <c r="L83" i="2" s="1"/>
  <c r="U80" i="2"/>
  <c r="U82" i="2" s="1"/>
  <c r="U83" i="2" s="1"/>
  <c r="AV80" i="2"/>
  <c r="BH80" i="2"/>
  <c r="BH82" i="2" s="1"/>
  <c r="BH83" i="2" s="1"/>
  <c r="BT80" i="2"/>
  <c r="CF80" i="2"/>
  <c r="CR80" i="2"/>
  <c r="DD80" i="2"/>
  <c r="DP80" i="2"/>
  <c r="EB80" i="2"/>
  <c r="AD74" i="2"/>
  <c r="AJ74" i="2" s="1"/>
  <c r="AD78" i="2"/>
  <c r="AJ78" i="2" s="1"/>
  <c r="Z78" i="2"/>
  <c r="EN82" i="2"/>
  <c r="EN83" i="2" s="1"/>
  <c r="AN49" i="2"/>
  <c r="BA49" i="2"/>
  <c r="BT49" i="2"/>
  <c r="BT82" i="2" s="1"/>
  <c r="BT83" i="2" s="1"/>
  <c r="I80" i="2"/>
  <c r="V80" i="2"/>
  <c r="V82" i="2" s="1"/>
  <c r="V83" i="2" s="1"/>
  <c r="AE80" i="2"/>
  <c r="AO80" i="2"/>
  <c r="AS80" i="2"/>
  <c r="AS82" i="2" s="1"/>
  <c r="AS83" i="2" s="1"/>
  <c r="BA80" i="2"/>
  <c r="BM80" i="2"/>
  <c r="BU80" i="2"/>
  <c r="BY80" i="2"/>
  <c r="BY82" i="2" s="1"/>
  <c r="BY83" i="2" s="1"/>
  <c r="CG80" i="2"/>
  <c r="CK80" i="2"/>
  <c r="CK82" i="2" s="1"/>
  <c r="CK83" i="2" s="1"/>
  <c r="CO80" i="2"/>
  <c r="CO82" i="2" s="1"/>
  <c r="CO83" i="2" s="1"/>
  <c r="CS80" i="2"/>
  <c r="CW80" i="2"/>
  <c r="DE80" i="2"/>
  <c r="DI80" i="2"/>
  <c r="DQ80" i="2"/>
  <c r="DU80" i="2"/>
  <c r="DY80" i="2"/>
  <c r="AD72" i="2"/>
  <c r="AG74" i="2"/>
  <c r="AD75" i="2"/>
  <c r="AJ75" i="2" s="1"/>
  <c r="Z76" i="2"/>
  <c r="AG78" i="2"/>
  <c r="EJ82" i="2"/>
  <c r="EJ83" i="2" s="1"/>
  <c r="BZ49" i="2"/>
  <c r="CH19" i="2"/>
  <c r="ED83" i="2"/>
  <c r="AL31" i="2"/>
  <c r="DR31" i="2"/>
  <c r="AF28" i="2"/>
  <c r="AD30" i="2"/>
  <c r="AD31" i="2" s="1"/>
  <c r="AJ31" i="2" s="1"/>
  <c r="EA82" i="2"/>
  <c r="B31" i="2"/>
  <c r="AX49" i="2"/>
  <c r="BS49" i="2"/>
  <c r="BS82" i="2" s="1"/>
  <c r="BS83" i="2" s="1"/>
  <c r="CA49" i="2"/>
  <c r="CA82" i="2" s="1"/>
  <c r="CA83" i="2" s="1"/>
  <c r="CR49" i="2"/>
  <c r="CR82" i="2" s="1"/>
  <c r="CR83" i="2" s="1"/>
  <c r="CV49" i="2"/>
  <c r="DE49" i="2"/>
  <c r="DP49" i="2"/>
  <c r="AF37" i="2"/>
  <c r="AD41" i="2"/>
  <c r="AT49" i="2"/>
  <c r="EO49" i="2"/>
  <c r="AD44" i="2"/>
  <c r="AF44" i="2" s="1"/>
  <c r="AQ49" i="2"/>
  <c r="BM49" i="2"/>
  <c r="B80" i="2"/>
  <c r="F80" i="2"/>
  <c r="F82" i="2" s="1"/>
  <c r="F83" i="2" s="1"/>
  <c r="J80" i="2"/>
  <c r="N80" i="2"/>
  <c r="N82" i="2" s="1"/>
  <c r="N83" i="2" s="1"/>
  <c r="S80" i="2"/>
  <c r="S82" i="2" s="1"/>
  <c r="S83" i="2" s="1"/>
  <c r="W80" i="2"/>
  <c r="W82" i="2" s="1"/>
  <c r="W83" i="2" s="1"/>
  <c r="AL80" i="2"/>
  <c r="AP80" i="2"/>
  <c r="BB80" i="2"/>
  <c r="BN80" i="2"/>
  <c r="BN82" i="2" s="1"/>
  <c r="BN83" i="2" s="1"/>
  <c r="BZ80" i="2"/>
  <c r="DV80" i="2"/>
  <c r="EO80" i="2"/>
  <c r="AG63" i="2"/>
  <c r="AG75" i="2"/>
  <c r="Z75" i="2"/>
  <c r="AD76" i="2"/>
  <c r="AX19" i="2"/>
  <c r="Z15" i="2"/>
  <c r="Z17" i="2" s="1"/>
  <c r="Z19" i="2" s="1"/>
  <c r="DC82" i="2"/>
  <c r="DC83" i="2" s="1"/>
  <c r="DP82" i="2"/>
  <c r="DP83" i="2" s="1"/>
  <c r="DO82" i="2"/>
  <c r="DO83" i="2" s="1"/>
  <c r="AG44" i="2"/>
  <c r="E49" i="2"/>
  <c r="X49" i="2"/>
  <c r="Z44" i="2"/>
  <c r="CN19" i="2"/>
  <c r="AD15" i="2"/>
  <c r="C17" i="2"/>
  <c r="C19" i="2" s="1"/>
  <c r="AF27" i="2"/>
  <c r="AJ27" i="2"/>
  <c r="AO82" i="2"/>
  <c r="AO83" i="2" s="1"/>
  <c r="AU82" i="2"/>
  <c r="AU83" i="2" s="1"/>
  <c r="EO82" i="2"/>
  <c r="EO83" i="2" s="1"/>
  <c r="AE49" i="2"/>
  <c r="AW49" i="2"/>
  <c r="G49" i="2"/>
  <c r="AX25" i="2"/>
  <c r="AF41" i="2"/>
  <c r="AJ41" i="2"/>
  <c r="AJ68" i="2"/>
  <c r="DF19" i="2"/>
  <c r="AF11" i="2"/>
  <c r="EA83" i="2"/>
  <c r="AQ82" i="2"/>
  <c r="AQ83" i="2" s="1"/>
  <c r="AE54" i="2"/>
  <c r="AF51" i="2"/>
  <c r="DS19" i="2"/>
  <c r="AL19" i="2"/>
  <c r="DI82" i="2"/>
  <c r="DI83" i="2" s="1"/>
  <c r="DW82" i="2"/>
  <c r="DW83" i="2" s="1"/>
  <c r="AF36" i="2"/>
  <c r="DX49" i="2"/>
  <c r="DL49" i="2"/>
  <c r="DT49" i="2"/>
  <c r="AF45" i="2"/>
  <c r="AF46" i="2"/>
  <c r="H49" i="2"/>
  <c r="AD54" i="2"/>
  <c r="AY80" i="2"/>
  <c r="BE80" i="2"/>
  <c r="BK80" i="2"/>
  <c r="BK82" i="2" s="1"/>
  <c r="BK83" i="2" s="1"/>
  <c r="BQ80" i="2"/>
  <c r="BQ82" i="2" s="1"/>
  <c r="BQ83" i="2" s="1"/>
  <c r="BW80" i="2"/>
  <c r="CC80" i="2"/>
  <c r="CC82" i="2" s="1"/>
  <c r="CC83" i="2" s="1"/>
  <c r="CI80" i="2"/>
  <c r="CU80" i="2"/>
  <c r="DA80" i="2"/>
  <c r="DA82" i="2" s="1"/>
  <c r="DA83" i="2" s="1"/>
  <c r="DG80" i="2"/>
  <c r="DG82" i="2" s="1"/>
  <c r="DG83" i="2" s="1"/>
  <c r="DM80" i="2"/>
  <c r="DS80" i="2"/>
  <c r="DS82" i="2" s="1"/>
  <c r="AD61" i="2"/>
  <c r="AD63" i="2"/>
  <c r="O80" i="2"/>
  <c r="AG30" i="2"/>
  <c r="AG31" i="2" s="1"/>
  <c r="AG36" i="2"/>
  <c r="CI49" i="2"/>
  <c r="Y80" i="2"/>
  <c r="Y82" i="2" s="1"/>
  <c r="Y83" i="2" s="1"/>
  <c r="Z60" i="2"/>
  <c r="AD73" i="2"/>
  <c r="X31" i="2"/>
  <c r="CU49" i="2"/>
  <c r="EB49" i="2"/>
  <c r="DB49" i="2"/>
  <c r="DN49" i="2"/>
  <c r="Z41" i="2"/>
  <c r="BW49" i="2"/>
  <c r="AD60" i="2"/>
  <c r="BG82" i="2"/>
  <c r="BG83" i="2" s="1"/>
  <c r="AF70" i="2"/>
  <c r="AJ70" i="2"/>
  <c r="AD25" i="2"/>
  <c r="AF29" i="2"/>
  <c r="DD49" i="2"/>
  <c r="AF40" i="2"/>
  <c r="AD49" i="2"/>
  <c r="AJ49" i="2" s="1"/>
  <c r="AG60" i="2"/>
  <c r="C80" i="2"/>
  <c r="C82" i="2" s="1"/>
  <c r="AW80" i="2"/>
  <c r="BI80" i="2"/>
  <c r="BI82" i="2" s="1"/>
  <c r="BI83" i="2" s="1"/>
  <c r="EC80" i="2"/>
  <c r="EC82" i="2" s="1"/>
  <c r="EC83" i="2" s="1"/>
  <c r="EF82" i="2"/>
  <c r="EF83" i="2" s="1"/>
  <c r="EL82" i="2"/>
  <c r="EL83" i="2" s="1"/>
  <c r="DM49" i="2"/>
  <c r="DY49" i="2"/>
  <c r="DY82" i="2" s="1"/>
  <c r="DY83" i="2" s="1"/>
  <c r="G80" i="2"/>
  <c r="M80" i="2"/>
  <c r="AN80" i="2"/>
  <c r="AT80" i="2"/>
  <c r="AZ80" i="2"/>
  <c r="AZ82" i="2" s="1"/>
  <c r="AZ83" i="2" s="1"/>
  <c r="BF80" i="2"/>
  <c r="BF82" i="2" s="1"/>
  <c r="BF83" i="2" s="1"/>
  <c r="BL80" i="2"/>
  <c r="BL82" i="2" s="1"/>
  <c r="BL83" i="2" s="1"/>
  <c r="BR80" i="2"/>
  <c r="BR82" i="2" s="1"/>
  <c r="BR83" i="2" s="1"/>
  <c r="BX80" i="2"/>
  <c r="BX82" i="2" s="1"/>
  <c r="BX83" i="2" s="1"/>
  <c r="CD80" i="2"/>
  <c r="CD82" i="2" s="1"/>
  <c r="CD83" i="2" s="1"/>
  <c r="CJ80" i="2"/>
  <c r="CJ82" i="2" s="1"/>
  <c r="CJ83" i="2" s="1"/>
  <c r="CP80" i="2"/>
  <c r="CP82" i="2" s="1"/>
  <c r="CP83" i="2" s="1"/>
  <c r="CV80" i="2"/>
  <c r="CV82" i="2" s="1"/>
  <c r="CV83" i="2" s="1"/>
  <c r="DB80" i="2"/>
  <c r="DH80" i="2"/>
  <c r="DH82" i="2" s="1"/>
  <c r="DH83" i="2" s="1"/>
  <c r="DN80" i="2"/>
  <c r="DT80" i="2"/>
  <c r="DZ80" i="2"/>
  <c r="DZ82" i="2" s="1"/>
  <c r="DZ83" i="2" s="1"/>
  <c r="AG54" i="2"/>
  <c r="E80" i="2"/>
  <c r="K80" i="2"/>
  <c r="K82" i="2" s="1"/>
  <c r="K83" i="2" s="1"/>
  <c r="R80" i="2"/>
  <c r="R82" i="2" s="1"/>
  <c r="R83" i="2" s="1"/>
  <c r="X80" i="2"/>
  <c r="AR80" i="2"/>
  <c r="AR82" i="2" s="1"/>
  <c r="AR83" i="2" s="1"/>
  <c r="AX80" i="2"/>
  <c r="BD80" i="2"/>
  <c r="BD82" i="2" s="1"/>
  <c r="BD83" i="2" s="1"/>
  <c r="BJ80" i="2"/>
  <c r="BJ82" i="2" s="1"/>
  <c r="BJ83" i="2" s="1"/>
  <c r="BP80" i="2"/>
  <c r="BV80" i="2"/>
  <c r="CB80" i="2"/>
  <c r="CH80" i="2"/>
  <c r="CH82" i="2" s="1"/>
  <c r="CN80" i="2"/>
  <c r="CN82" i="2" s="1"/>
  <c r="CT80" i="2"/>
  <c r="CT82" i="2" s="1"/>
  <c r="CT83" i="2" s="1"/>
  <c r="CZ80" i="2"/>
  <c r="CZ82" i="2" s="1"/>
  <c r="CZ83" i="2" s="1"/>
  <c r="DF80" i="2"/>
  <c r="DF82" i="2" s="1"/>
  <c r="DL80" i="2"/>
  <c r="DR80" i="2"/>
  <c r="DX80" i="2"/>
  <c r="Z61" i="2"/>
  <c r="AF67" i="2"/>
  <c r="BM82" i="2" l="1"/>
  <c r="BM83" i="2" s="1"/>
  <c r="DE82" i="2"/>
  <c r="DE83" i="2" s="1"/>
  <c r="CW82" i="2"/>
  <c r="CW83" i="2" s="1"/>
  <c r="CG82" i="2"/>
  <c r="CG83" i="2" s="1"/>
  <c r="CH83" i="2"/>
  <c r="DX82" i="2"/>
  <c r="DX83" i="2" s="1"/>
  <c r="DB82" i="2"/>
  <c r="DB83" i="2" s="1"/>
  <c r="CS82" i="2"/>
  <c r="CS83" i="2" s="1"/>
  <c r="CF82" i="2"/>
  <c r="CF83" i="2" s="1"/>
  <c r="B82" i="2"/>
  <c r="B83" i="2" s="1"/>
  <c r="CQ82" i="2"/>
  <c r="CQ83" i="2" s="1"/>
  <c r="CB82" i="2"/>
  <c r="CB83" i="2" s="1"/>
  <c r="M82" i="2"/>
  <c r="M83" i="2" s="1"/>
  <c r="AF78" i="2"/>
  <c r="DU82" i="2"/>
  <c r="DU83" i="2" s="1"/>
  <c r="DK82" i="2"/>
  <c r="DK83" i="2" s="1"/>
  <c r="DR82" i="2"/>
  <c r="DR83" i="2" s="1"/>
  <c r="DD82" i="2"/>
  <c r="DD83" i="2" s="1"/>
  <c r="H82" i="2"/>
  <c r="H83" i="2" s="1"/>
  <c r="DQ82" i="2"/>
  <c r="DQ83" i="2" s="1"/>
  <c r="BU82" i="2"/>
  <c r="BU83" i="2" s="1"/>
  <c r="AJ64" i="2"/>
  <c r="AM82" i="2"/>
  <c r="AM83" i="2" s="1"/>
  <c r="Z49" i="2"/>
  <c r="BB82" i="2"/>
  <c r="BB83" i="2" s="1"/>
  <c r="E82" i="2"/>
  <c r="E83" i="2" s="1"/>
  <c r="AP82" i="2"/>
  <c r="AP83" i="2" s="1"/>
  <c r="O82" i="2"/>
  <c r="O83" i="2" s="1"/>
  <c r="AY82" i="2"/>
  <c r="AY83" i="2" s="1"/>
  <c r="BV82" i="2"/>
  <c r="BV83" i="2" s="1"/>
  <c r="BP82" i="2"/>
  <c r="BP83" i="2" s="1"/>
  <c r="CI82" i="2"/>
  <c r="CI83" i="2" s="1"/>
  <c r="AJ44" i="2"/>
  <c r="BA82" i="2"/>
  <c r="BA83" i="2" s="1"/>
  <c r="CX82" i="2"/>
  <c r="CX83" i="2" s="1"/>
  <c r="DN82" i="2"/>
  <c r="DN83" i="2" s="1"/>
  <c r="G82" i="2"/>
  <c r="G83" i="2" s="1"/>
  <c r="BE82" i="2"/>
  <c r="BE83" i="2" s="1"/>
  <c r="AF30" i="2"/>
  <c r="AF31" i="2" s="1"/>
  <c r="AF54" i="2"/>
  <c r="AG80" i="2"/>
  <c r="EB82" i="2"/>
  <c r="EB83" i="2" s="1"/>
  <c r="BZ82" i="2"/>
  <c r="BZ83" i="2" s="1"/>
  <c r="AV82" i="2"/>
  <c r="AV83" i="2" s="1"/>
  <c r="DV82" i="2"/>
  <c r="DV83" i="2" s="1"/>
  <c r="I82" i="2"/>
  <c r="I83" i="2" s="1"/>
  <c r="AF75" i="2"/>
  <c r="AF49" i="2"/>
  <c r="AJ30" i="2"/>
  <c r="AW82" i="2"/>
  <c r="AW83" i="2" s="1"/>
  <c r="DS83" i="2"/>
  <c r="AF74" i="2"/>
  <c r="AT82" i="2"/>
  <c r="AT83" i="2" s="1"/>
  <c r="X82" i="2"/>
  <c r="X83" i="2" s="1"/>
  <c r="CU82" i="2"/>
  <c r="CU83" i="2" s="1"/>
  <c r="DT82" i="2"/>
  <c r="DT83" i="2" s="1"/>
  <c r="AE82" i="2"/>
  <c r="AE83" i="2" s="1"/>
  <c r="AF72" i="2"/>
  <c r="AJ72" i="2"/>
  <c r="AN82" i="2"/>
  <c r="AN83" i="2" s="1"/>
  <c r="DL82" i="2"/>
  <c r="DL83" i="2" s="1"/>
  <c r="AF76" i="2"/>
  <c r="AJ76" i="2"/>
  <c r="AL82" i="2"/>
  <c r="AL83" i="2" s="1"/>
  <c r="AF15" i="2"/>
  <c r="AJ15" i="2"/>
  <c r="AD17" i="2"/>
  <c r="DM82" i="2"/>
  <c r="DM83" i="2" s="1"/>
  <c r="BW82" i="2"/>
  <c r="BW83" i="2" s="1"/>
  <c r="AJ73" i="2"/>
  <c r="AF73" i="2"/>
  <c r="Z80" i="2"/>
  <c r="Z82" i="2" s="1"/>
  <c r="Z83" i="2" s="1"/>
  <c r="AF17" i="2"/>
  <c r="AF19" i="2" s="1"/>
  <c r="AJ63" i="2"/>
  <c r="AF63" i="2"/>
  <c r="CN83" i="2"/>
  <c r="AF60" i="2"/>
  <c r="AD80" i="2"/>
  <c r="AJ80" i="2" s="1"/>
  <c r="AJ60" i="2"/>
  <c r="AJ61" i="2"/>
  <c r="AF61" i="2"/>
  <c r="DF83" i="2"/>
  <c r="AX82" i="2"/>
  <c r="AX83" i="2" s="1"/>
  <c r="AJ25" i="2"/>
  <c r="AF25" i="2"/>
  <c r="AG49" i="2"/>
  <c r="C83" i="2"/>
  <c r="AG82" i="2" l="1"/>
  <c r="AG83" i="2" s="1"/>
  <c r="AF80" i="2"/>
  <c r="AF82" i="2" s="1"/>
  <c r="AF83" i="2" s="1"/>
  <c r="AJ17" i="2"/>
  <c r="AD19" i="2"/>
  <c r="AD82" i="2"/>
  <c r="AJ82" i="2" s="1"/>
  <c r="AD83" i="2" l="1"/>
  <c r="AJ19" i="2"/>
</calcChain>
</file>

<file path=xl/sharedStrings.xml><?xml version="1.0" encoding="utf-8"?>
<sst xmlns="http://schemas.openxmlformats.org/spreadsheetml/2006/main" count="1408" uniqueCount="247">
  <si>
    <t>FINANCIAL REPORT - December 31, 2020 NORTHEASTERN IOWA SYNOD, ELCA</t>
  </si>
  <si>
    <t xml:space="preserve"> ------------------------------  MONTH  --------------------------</t>
  </si>
  <si>
    <t>2021-2022 Budget</t>
  </si>
  <si>
    <t>2022-2023 Budget</t>
  </si>
  <si>
    <t>*</t>
  </si>
  <si>
    <t xml:space="preserve"> ------------------------------------YTD------------------------------------</t>
  </si>
  <si>
    <t>---LAST YEAR---</t>
  </si>
  <si>
    <t xml:space="preserve">   -------2020 BUDGET--------</t>
  </si>
  <si>
    <t xml:space="preserve">CONGREGATIONAL MISSION </t>
  </si>
  <si>
    <t>FEBRUARY '20</t>
  </si>
  <si>
    <t>FEBRUARY '19</t>
  </si>
  <si>
    <t>MARCH '20</t>
  </si>
  <si>
    <t>MARCH '19</t>
  </si>
  <si>
    <t>APRIL '20</t>
  </si>
  <si>
    <t>APRIL '19</t>
  </si>
  <si>
    <t>MAY '20</t>
  </si>
  <si>
    <t>MAY '19</t>
  </si>
  <si>
    <t>JUNE '20</t>
  </si>
  <si>
    <t>JUNE '19</t>
  </si>
  <si>
    <t>JULY '20</t>
  </si>
  <si>
    <t>JULY '19</t>
  </si>
  <si>
    <t>AUGUST '20</t>
  </si>
  <si>
    <t>AUGUST '19</t>
  </si>
  <si>
    <t>SEPTEMBER '20</t>
  </si>
  <si>
    <t>SEPTEMBER '19</t>
  </si>
  <si>
    <t>OCTOBER '20</t>
  </si>
  <si>
    <t>OCTOBER '19</t>
  </si>
  <si>
    <t>NOVEMBER '20</t>
  </si>
  <si>
    <t>NOVEMBER '19</t>
  </si>
  <si>
    <t>DECEMBER '20</t>
  </si>
  <si>
    <t>DECEMBER '19</t>
  </si>
  <si>
    <t>JANUARY '21</t>
  </si>
  <si>
    <t>JANUARY '20</t>
  </si>
  <si>
    <t>$ MONTHLY</t>
  </si>
  <si>
    <t>TOTAL RECEIPTS</t>
  </si>
  <si>
    <t>BUDGETED</t>
  </si>
  <si>
    <t>OVER(UNDER)</t>
  </si>
  <si>
    <t>ACTUAL YTD</t>
  </si>
  <si>
    <t xml:space="preserve">      ANNUAL </t>
  </si>
  <si>
    <t>% ANNUAL</t>
  </si>
  <si>
    <t>JANUARY '19</t>
  </si>
  <si>
    <t>DECEMBER '18</t>
  </si>
  <si>
    <t>NOVEMBER '18</t>
  </si>
  <si>
    <t>OCTOBER '18</t>
  </si>
  <si>
    <t>SEPTEMBER '18</t>
  </si>
  <si>
    <t>AUGUST '18</t>
  </si>
  <si>
    <t>JULY '18</t>
  </si>
  <si>
    <t>JUNE '18</t>
  </si>
  <si>
    <t>MAY '18</t>
  </si>
  <si>
    <t>APRIL '18</t>
  </si>
  <si>
    <t>MARCH '18</t>
  </si>
  <si>
    <t>FEBRUARY '18</t>
  </si>
  <si>
    <t>JANUARY '18</t>
  </si>
  <si>
    <t>DECEMBER '17</t>
  </si>
  <si>
    <t>NOVEMBER '17</t>
  </si>
  <si>
    <t>OCTOBER '17</t>
  </si>
  <si>
    <t>SEPTEMBER '17</t>
  </si>
  <si>
    <t>AUGUST '17</t>
  </si>
  <si>
    <t>JULY '17</t>
  </si>
  <si>
    <t>JUNE '17</t>
  </si>
  <si>
    <t>MAY '17</t>
  </si>
  <si>
    <t>APRIL '17</t>
  </si>
  <si>
    <t>MARCH '17</t>
  </si>
  <si>
    <t>FEBRUARY '17</t>
  </si>
  <si>
    <t>JANUARY '17</t>
  </si>
  <si>
    <t>DECEMBER '16</t>
  </si>
  <si>
    <t>NOVEMBER '16</t>
  </si>
  <si>
    <t>OCTOBER '16</t>
  </si>
  <si>
    <t>SEPTEMBER '16</t>
  </si>
  <si>
    <t>AUGUST '16</t>
  </si>
  <si>
    <t>JULY '16</t>
  </si>
  <si>
    <t>JUNE '16</t>
  </si>
  <si>
    <t>MAY '16</t>
  </si>
  <si>
    <t>APRIL '16</t>
  </si>
  <si>
    <t>MARCH '16</t>
  </si>
  <si>
    <t>FEBRUARY '16</t>
  </si>
  <si>
    <t>JANUARY '16</t>
  </si>
  <si>
    <t>DECEMBER '15</t>
  </si>
  <si>
    <t>NOVEMBER '15</t>
  </si>
  <si>
    <t>OCTOBER '15</t>
  </si>
  <si>
    <t>SEPTEMBER '15</t>
  </si>
  <si>
    <t>AUGUST '15</t>
  </si>
  <si>
    <t>JULY '15</t>
  </si>
  <si>
    <t>JUNE '15</t>
  </si>
  <si>
    <t>MAY '15</t>
  </si>
  <si>
    <t>APRIL '15</t>
  </si>
  <si>
    <t>MARCH '15</t>
  </si>
  <si>
    <t>FEBRUARY '15</t>
  </si>
  <si>
    <t>JANUARY '15</t>
  </si>
  <si>
    <t>DECEMBER '14</t>
  </si>
  <si>
    <t>NOVEMBER '14</t>
  </si>
  <si>
    <t>OCTOBER '14</t>
  </si>
  <si>
    <t>SEPTEMBER '14</t>
  </si>
  <si>
    <t>AUGUST '14</t>
  </si>
  <si>
    <t>JULY '14</t>
  </si>
  <si>
    <t>JUNE '14</t>
  </si>
  <si>
    <t>MAY '14</t>
  </si>
  <si>
    <t>APRIL '14</t>
  </si>
  <si>
    <t>MARCH '14</t>
  </si>
  <si>
    <t>FEBRUARY '14</t>
  </si>
  <si>
    <t>JANUARY '14</t>
  </si>
  <si>
    <t>DECEMBER '13</t>
  </si>
  <si>
    <t>NOVEMBER '13</t>
  </si>
  <si>
    <t>OCTOBER '13</t>
  </si>
  <si>
    <t>SEPTEMBER '13</t>
  </si>
  <si>
    <t>AUGUST '13</t>
  </si>
  <si>
    <t>JULY '13</t>
  </si>
  <si>
    <t>JUNE '13</t>
  </si>
  <si>
    <t>MAY '13</t>
  </si>
  <si>
    <t>APRIL '13</t>
  </si>
  <si>
    <t>MARCH '13</t>
  </si>
  <si>
    <t>FEBRUARY '13</t>
  </si>
  <si>
    <t>JANUARY '13</t>
  </si>
  <si>
    <t>DECEMBER '12</t>
  </si>
  <si>
    <t>NOVEMBER '12</t>
  </si>
  <si>
    <t>OCTOBER '12</t>
  </si>
  <si>
    <t>SEPTEMBER '12</t>
  </si>
  <si>
    <t>AUGUST '12</t>
  </si>
  <si>
    <t>JULY '12</t>
  </si>
  <si>
    <t>JUNE '12</t>
  </si>
  <si>
    <t>MAY '12</t>
  </si>
  <si>
    <t>APRIL '12</t>
  </si>
  <si>
    <t>MARCH '12</t>
  </si>
  <si>
    <t>FEBRUARY '12</t>
  </si>
  <si>
    <t>JANUARY '12</t>
  </si>
  <si>
    <t>DECEMBER '11</t>
  </si>
  <si>
    <t>NOVEMBER '11</t>
  </si>
  <si>
    <t>OCTOBER '11</t>
  </si>
  <si>
    <t>SEPTEMBER '11</t>
  </si>
  <si>
    <t>AUGUST '11</t>
  </si>
  <si>
    <t>JULY '11</t>
  </si>
  <si>
    <t>JUNE '11</t>
  </si>
  <si>
    <t>MAY '11</t>
  </si>
  <si>
    <t>APRIL '11</t>
  </si>
  <si>
    <t>MARCH '11</t>
  </si>
  <si>
    <t>FEBRUARY '11</t>
  </si>
  <si>
    <t>JANUARY '11</t>
  </si>
  <si>
    <t>DECEMBER '10</t>
  </si>
  <si>
    <t>NOVEMBER '10</t>
  </si>
  <si>
    <t>OCTOBER '10</t>
  </si>
  <si>
    <t>SEPTEMBER '10</t>
  </si>
  <si>
    <t>AUGUST '10</t>
  </si>
  <si>
    <t>JULY '10</t>
  </si>
  <si>
    <t>JUNE '10</t>
  </si>
  <si>
    <t>MAY '10</t>
  </si>
  <si>
    <t>APRIL '10</t>
  </si>
  <si>
    <t>MARCH '10</t>
  </si>
  <si>
    <t>FEBRUARY '10</t>
  </si>
  <si>
    <t xml:space="preserve">  SUPPORT &amp; OTHER INCOME</t>
  </si>
  <si>
    <t>RECEIVED</t>
  </si>
  <si>
    <t>VAR 19/20</t>
  </si>
  <si>
    <t xml:space="preserve">TO DATE   </t>
  </si>
  <si>
    <t xml:space="preserve">YTD BUDGET </t>
  </si>
  <si>
    <t xml:space="preserve">LAST YEAR  </t>
  </si>
  <si>
    <t xml:space="preserve">      BUDGET</t>
  </si>
  <si>
    <t>BUDGET</t>
  </si>
  <si>
    <t xml:space="preserve">  Mission Support</t>
  </si>
  <si>
    <t xml:space="preserve"> </t>
  </si>
  <si>
    <t xml:space="preserve">  from Congregations</t>
  </si>
  <si>
    <t xml:space="preserve">  Individual Mission Support Gifts </t>
  </si>
  <si>
    <t xml:space="preserve">       Annual Fund</t>
  </si>
  <si>
    <t xml:space="preserve">  Other Income:</t>
  </si>
  <si>
    <t xml:space="preserve">       Staff Support/ELCA</t>
  </si>
  <si>
    <t xml:space="preserve">       Market Value Changes/Interest Income</t>
  </si>
  <si>
    <t xml:space="preserve">       Year-end audit adjustment</t>
  </si>
  <si>
    <t xml:space="preserve">       Realized Gain/Loss</t>
  </si>
  <si>
    <t xml:space="preserve">       Misc. Income/Interest</t>
  </si>
  <si>
    <t xml:space="preserve">           Total Other Income:</t>
  </si>
  <si>
    <t>TOTAL INCOME:</t>
  </si>
  <si>
    <t>SYNODICAL GIVING</t>
  </si>
  <si>
    <t>TOTAL GIVEN</t>
  </si>
  <si>
    <t xml:space="preserve">BUDGETED </t>
  </si>
  <si>
    <t>GIVEN</t>
  </si>
  <si>
    <t xml:space="preserve"> Ministry Through ELCA:</t>
  </si>
  <si>
    <t xml:space="preserve"> ELCA Gen. Mission Support</t>
  </si>
  <si>
    <t xml:space="preserve">    ELCA Colleges &amp; Universities</t>
  </si>
  <si>
    <t xml:space="preserve">    Iowa Lutheran Campus Ministry</t>
  </si>
  <si>
    <t xml:space="preserve">    Lutheran Services in Iowa</t>
  </si>
  <si>
    <t xml:space="preserve">    ELCA Seminaries</t>
  </si>
  <si>
    <t xml:space="preserve">      Total Regional Mission:</t>
  </si>
  <si>
    <t>PROGRAM SUPPORT</t>
  </si>
  <si>
    <t>TOTAL SUPPORT</t>
  </si>
  <si>
    <t>SUPPORT</t>
  </si>
  <si>
    <t xml:space="preserve"> Ministry Within Synod:</t>
  </si>
  <si>
    <t xml:space="preserve">    Synod Council</t>
  </si>
  <si>
    <t xml:space="preserve">        Mission Support Committee</t>
  </si>
  <si>
    <t xml:space="preserve">        Region V Center for Mission</t>
  </si>
  <si>
    <t xml:space="preserve">        Outreach &amp; Evangelism</t>
  </si>
  <si>
    <t xml:space="preserve">    Ministry Networks</t>
  </si>
  <si>
    <t xml:space="preserve">    Leadership Committees</t>
  </si>
  <si>
    <t xml:space="preserve">    Board of Leadership in Ministry</t>
  </si>
  <si>
    <t xml:space="preserve">    Board of Ministry in Mission</t>
  </si>
  <si>
    <t xml:space="preserve">    Lutheran Youth Organization</t>
  </si>
  <si>
    <t xml:space="preserve">    Consultation Committee</t>
  </si>
  <si>
    <t xml:space="preserve">    Discipline Committee</t>
  </si>
  <si>
    <t xml:space="preserve">    Congregational Support - Clergy/Team Consultation</t>
  </si>
  <si>
    <t xml:space="preserve">    ELCA Director of Evangelical Mission</t>
  </si>
  <si>
    <t xml:space="preserve">      Total Boards/Committees:</t>
  </si>
  <si>
    <t xml:space="preserve">    Conference Grants</t>
  </si>
  <si>
    <t xml:space="preserve">    Congregational Resource Grants</t>
  </si>
  <si>
    <t xml:space="preserve">    Administrative Expenses</t>
  </si>
  <si>
    <t xml:space="preserve">      Total Conferences:</t>
  </si>
  <si>
    <t>SYNOD STAFF MINISTRY &amp;</t>
  </si>
  <si>
    <t>TOTAL EXPENSES</t>
  </si>
  <si>
    <t>ADMINISTRATIVE EXPENSES</t>
  </si>
  <si>
    <t>EXPENSES</t>
  </si>
  <si>
    <t xml:space="preserve">    Salaries and Housing </t>
  </si>
  <si>
    <t xml:space="preserve">    Medical and Dental</t>
  </si>
  <si>
    <t xml:space="preserve">    Pension</t>
  </si>
  <si>
    <t xml:space="preserve">    Social Security</t>
  </si>
  <si>
    <t xml:space="preserve">    Continuing Education</t>
  </si>
  <si>
    <t xml:space="preserve">    STAR &amp; THE LUTHERAN Editor</t>
  </si>
  <si>
    <t xml:space="preserve">    Legal/Audit</t>
  </si>
  <si>
    <t xml:space="preserve">    Bookkeeping Services</t>
  </si>
  <si>
    <t xml:space="preserve">    Travel</t>
  </si>
  <si>
    <t xml:space="preserve">    Bishop's Discretionary</t>
  </si>
  <si>
    <t xml:space="preserve">    Utilities</t>
  </si>
  <si>
    <t xml:space="preserve">    Insurance</t>
  </si>
  <si>
    <t xml:space="preserve">    Maintenance &amp; Repair</t>
  </si>
  <si>
    <t xml:space="preserve">    Telephone, Internet, Web Hosting</t>
  </si>
  <si>
    <t xml:space="preserve">    Printing</t>
  </si>
  <si>
    <t xml:space="preserve">    Postage</t>
  </si>
  <si>
    <t xml:space="preserve">    Supplies</t>
  </si>
  <si>
    <t xml:space="preserve">    Books,Magazines</t>
  </si>
  <si>
    <t xml:space="preserve">    Bank Charges</t>
  </si>
  <si>
    <t xml:space="preserve">    Depreciation Expense</t>
  </si>
  <si>
    <t xml:space="preserve">      Total Synod Office:</t>
  </si>
  <si>
    <t xml:space="preserve">  </t>
  </si>
  <si>
    <t>TOTAL EXPENSES:</t>
  </si>
  <si>
    <t>INCOME or (LOSS)</t>
  </si>
  <si>
    <t>/FS~R</t>
  </si>
  <si>
    <t>/PPR~AGPQ</t>
  </si>
  <si>
    <t>Date:</t>
  </si>
  <si>
    <t>THRU 01/31/2021</t>
  </si>
  <si>
    <t>2019-20</t>
  </si>
  <si>
    <t>2020-21</t>
  </si>
  <si>
    <t>Other Income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</si>
  <si>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Carry forward Earnings </t>
    </r>
  </si>
  <si>
    <t>LSI $5,000.00 - Wartburg College $5,000.00</t>
  </si>
  <si>
    <t>Luther College $5,000.00 -Wartburg</t>
  </si>
  <si>
    <t>Wartburg Seminary $5,000..00</t>
  </si>
  <si>
    <r>
      <rPr>
        <b/>
        <sz val="12"/>
        <rFont val="Arial"/>
        <family val="2"/>
      </rPr>
      <t>Allocate</t>
    </r>
    <r>
      <rPr>
        <sz val="12"/>
        <rFont val="Arial"/>
        <family val="2"/>
      </rPr>
      <t xml:space="preserve"> to other income year 2021-2022</t>
    </r>
  </si>
  <si>
    <t>Anticipated</t>
  </si>
  <si>
    <t>Allocate from Retained Earnings Fund Balance</t>
  </si>
  <si>
    <r>
      <rPr>
        <b/>
        <sz val="12"/>
        <rFont val="Arial"/>
        <family val="2"/>
      </rPr>
      <t>Allocate</t>
    </r>
    <r>
      <rPr>
        <sz val="12"/>
        <rFont val="Arial"/>
        <family val="2"/>
      </rPr>
      <t xml:space="preserve"> to Retained Earnings</t>
    </r>
  </si>
  <si>
    <r>
      <rPr>
        <b/>
        <sz val="12"/>
        <rFont val="Arial"/>
        <family val="2"/>
      </rPr>
      <t>Allocate</t>
    </r>
    <r>
      <rPr>
        <sz val="12"/>
        <rFont val="Arial"/>
        <family val="2"/>
      </rPr>
      <t xml:space="preserve"> to One Time Gifts to </t>
    </r>
  </si>
  <si>
    <t>from Earnings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</si>
</sst>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7" fontId="1" fillId="0" borderId="0" xfId="0" applyNumberFormat="1" applyFont="1" applyAlignment="1">
      <alignment horizontal="left"/>
    </xf>
    <xf numFmtId="7" fontId="1" fillId="0" borderId="0" xfId="0" applyNumberFormat="1" applyFont="1"/>
    <xf numFmtId="0" fontId="1" fillId="0" borderId="0" xfId="0" applyFont="1"/>
    <xf numFmtId="7" fontId="2" fillId="0" borderId="1" xfId="0" applyNumberFormat="1" applyFont="1" applyBorder="1"/>
    <xf numFmtId="7" fontId="2" fillId="0" borderId="2" xfId="0" applyNumberFormat="1" applyFont="1" applyBorder="1"/>
    <xf numFmtId="7" fontId="1" fillId="0" borderId="0" xfId="0" applyNumberFormat="1" applyFont="1" applyAlignment="1">
      <alignment horizontal="center"/>
    </xf>
    <xf numFmtId="7" fontId="1" fillId="0" borderId="1" xfId="0" applyNumberFormat="1" applyFont="1" applyBorder="1" applyAlignment="1">
      <alignment horizontal="center"/>
    </xf>
    <xf numFmtId="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7" fontId="1" fillId="0" borderId="0" xfId="0" applyNumberFormat="1" applyFont="1" applyAlignment="1" applyProtection="1">
      <alignment horizontal="center"/>
      <protection locked="0"/>
    </xf>
    <xf numFmtId="7" fontId="1" fillId="0" borderId="1" xfId="0" applyNumberFormat="1" applyFont="1" applyBorder="1"/>
    <xf numFmtId="7" fontId="1" fillId="0" borderId="2" xfId="0" applyNumberFormat="1" applyFont="1" applyBorder="1"/>
    <xf numFmtId="5" fontId="1" fillId="0" borderId="0" xfId="0" applyNumberFormat="1" applyFont="1"/>
    <xf numFmtId="10" fontId="1" fillId="0" borderId="0" xfId="0" applyNumberFormat="1" applyFont="1"/>
    <xf numFmtId="5" fontId="1" fillId="0" borderId="3" xfId="0" applyNumberFormat="1" applyFont="1" applyBorder="1"/>
    <xf numFmtId="164" fontId="1" fillId="0" borderId="0" xfId="0" applyNumberFormat="1" applyFont="1"/>
    <xf numFmtId="7" fontId="1" fillId="0" borderId="4" xfId="0" applyNumberFormat="1" applyFont="1" applyBorder="1"/>
    <xf numFmtId="7" fontId="1" fillId="0" borderId="5" xfId="0" applyNumberFormat="1" applyFont="1" applyBorder="1"/>
    <xf numFmtId="7" fontId="1" fillId="0" borderId="6" xfId="0" applyNumberFormat="1" applyFont="1" applyBorder="1"/>
    <xf numFmtId="5" fontId="1" fillId="0" borderId="4" xfId="0" applyNumberFormat="1" applyFont="1" applyBorder="1"/>
    <xf numFmtId="7" fontId="1" fillId="0" borderId="0" xfId="0" applyNumberFormat="1" applyFont="1" applyAlignment="1">
      <alignment horizontal="right"/>
    </xf>
    <xf numFmtId="5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7" fontId="2" fillId="0" borderId="0" xfId="0" applyNumberFormat="1" applyFont="1"/>
    <xf numFmtId="7" fontId="1" fillId="0" borderId="3" xfId="0" applyNumberFormat="1" applyFont="1" applyBorder="1"/>
    <xf numFmtId="7" fontId="1" fillId="0" borderId="7" xfId="0" applyNumberFormat="1" applyFont="1" applyBorder="1"/>
    <xf numFmtId="7" fontId="1" fillId="0" borderId="8" xfId="0" applyNumberFormat="1" applyFont="1" applyBorder="1"/>
    <xf numFmtId="7" fontId="1" fillId="0" borderId="9" xfId="0" applyNumberFormat="1" applyFont="1" applyBorder="1"/>
    <xf numFmtId="0" fontId="1" fillId="0" borderId="0" xfId="0" applyFont="1" applyAlignment="1">
      <alignment wrapText="1"/>
    </xf>
    <xf numFmtId="7" fontId="1" fillId="0" borderId="0" xfId="0" applyNumberFormat="1" applyFont="1" applyAlignment="1">
      <alignment wrapText="1"/>
    </xf>
    <xf numFmtId="7" fontId="1" fillId="0" borderId="10" xfId="0" applyNumberFormat="1" applyFont="1" applyBorder="1"/>
    <xf numFmtId="7" fontId="1" fillId="0" borderId="11" xfId="0" applyNumberFormat="1" applyFont="1" applyBorder="1"/>
    <xf numFmtId="7" fontId="1" fillId="0" borderId="12" xfId="0" applyNumberFormat="1" applyFont="1" applyBorder="1"/>
    <xf numFmtId="5" fontId="1" fillId="0" borderId="10" xfId="0" applyNumberFormat="1" applyFont="1" applyBorder="1"/>
    <xf numFmtId="0" fontId="1" fillId="0" borderId="0" xfId="1" applyFont="1" applyAlignment="1">
      <alignment horizontal="left"/>
    </xf>
    <xf numFmtId="7" fontId="1" fillId="0" borderId="0" xfId="1" applyNumberFormat="1" applyFont="1" applyAlignment="1">
      <alignment horizontal="left"/>
    </xf>
    <xf numFmtId="7" fontId="1" fillId="0" borderId="0" xfId="1" applyNumberFormat="1" applyFont="1"/>
    <xf numFmtId="0" fontId="1" fillId="0" borderId="0" xfId="1" applyFont="1"/>
    <xf numFmtId="0" fontId="3" fillId="0" borderId="0" xfId="1"/>
    <xf numFmtId="8" fontId="1" fillId="0" borderId="0" xfId="1" applyNumberFormat="1" applyFont="1" applyAlignment="1">
      <alignment horizontal="left"/>
    </xf>
    <xf numFmtId="164" fontId="1" fillId="0" borderId="0" xfId="1" applyNumberFormat="1" applyFont="1" applyAlignment="1">
      <alignment horizontal="left"/>
    </xf>
    <xf numFmtId="7" fontId="2" fillId="0" borderId="1" xfId="1" applyNumberFormat="1" applyFont="1" applyBorder="1"/>
    <xf numFmtId="7" fontId="2" fillId="0" borderId="2" xfId="1" applyNumberFormat="1" applyFont="1" applyBorder="1"/>
    <xf numFmtId="164" fontId="1" fillId="0" borderId="0" xfId="1" applyNumberFormat="1" applyFont="1"/>
    <xf numFmtId="8" fontId="1" fillId="0" borderId="0" xfId="1" applyNumberFormat="1" applyFont="1"/>
    <xf numFmtId="7" fontId="1" fillId="0" borderId="0" xfId="1" applyNumberFormat="1" applyFont="1" applyAlignment="1">
      <alignment horizontal="center"/>
    </xf>
    <xf numFmtId="7" fontId="1" fillId="0" borderId="1" xfId="1" applyNumberFormat="1" applyFont="1" applyBorder="1" applyAlignment="1">
      <alignment horizontal="center"/>
    </xf>
    <xf numFmtId="7" fontId="1" fillId="0" borderId="2" xfId="1" applyNumberFormat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Protection="1">
      <protection locked="0"/>
    </xf>
    <xf numFmtId="7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8" fontId="1" fillId="0" borderId="0" xfId="1" applyNumberFormat="1" applyFont="1" applyAlignment="1" applyProtection="1">
      <alignment horizontal="center"/>
      <protection locked="0"/>
    </xf>
    <xf numFmtId="7" fontId="1" fillId="0" borderId="1" xfId="1" applyNumberFormat="1" applyFont="1" applyBorder="1"/>
    <xf numFmtId="7" fontId="1" fillId="0" borderId="2" xfId="1" applyNumberFormat="1" applyFont="1" applyBorder="1"/>
    <xf numFmtId="5" fontId="1" fillId="0" borderId="0" xfId="1" applyNumberFormat="1" applyFont="1"/>
    <xf numFmtId="10" fontId="1" fillId="0" borderId="0" xfId="1" applyNumberFormat="1" applyFont="1"/>
    <xf numFmtId="5" fontId="1" fillId="0" borderId="3" xfId="1" applyNumberFormat="1" applyFont="1" applyBorder="1"/>
    <xf numFmtId="7" fontId="1" fillId="0" borderId="3" xfId="1" applyNumberFormat="1" applyFont="1" applyBorder="1"/>
    <xf numFmtId="7" fontId="1" fillId="0" borderId="4" xfId="1" applyNumberFormat="1" applyFont="1" applyBorder="1"/>
    <xf numFmtId="5" fontId="1" fillId="0" borderId="4" xfId="1" applyNumberFormat="1" applyFont="1" applyBorder="1"/>
    <xf numFmtId="164" fontId="1" fillId="0" borderId="4" xfId="1" applyNumberFormat="1" applyFont="1" applyBorder="1"/>
    <xf numFmtId="7" fontId="1" fillId="0" borderId="0" xfId="1" applyNumberFormat="1" applyFont="1" applyAlignment="1">
      <alignment horizontal="right"/>
    </xf>
    <xf numFmtId="5" fontId="1" fillId="0" borderId="0" xfId="1" applyNumberFormat="1" applyFont="1" applyAlignment="1">
      <alignment horizontal="center"/>
    </xf>
    <xf numFmtId="39" fontId="1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8" fontId="1" fillId="0" borderId="0" xfId="1" applyNumberFormat="1" applyFont="1" applyAlignment="1">
      <alignment horizontal="center"/>
    </xf>
    <xf numFmtId="7" fontId="2" fillId="0" borderId="0" xfId="1" applyNumberFormat="1" applyFont="1"/>
    <xf numFmtId="7" fontId="1" fillId="0" borderId="7" xfId="1" applyNumberFormat="1" applyFont="1" applyBorder="1"/>
    <xf numFmtId="0" fontId="1" fillId="0" borderId="0" xfId="1" applyFont="1" applyAlignment="1">
      <alignment wrapText="1"/>
    </xf>
    <xf numFmtId="7" fontId="1" fillId="0" borderId="0" xfId="1" applyNumberFormat="1" applyFont="1" applyAlignment="1">
      <alignment wrapText="1"/>
    </xf>
    <xf numFmtId="164" fontId="1" fillId="0" borderId="0" xfId="1" applyNumberFormat="1" applyFont="1" applyAlignment="1">
      <alignment wrapText="1"/>
    </xf>
    <xf numFmtId="164" fontId="1" fillId="0" borderId="3" xfId="1" applyNumberFormat="1" applyFont="1" applyBorder="1"/>
    <xf numFmtId="164" fontId="1" fillId="0" borderId="0" xfId="1" applyNumberFormat="1" applyFont="1" applyAlignment="1">
      <alignment horizontal="right"/>
    </xf>
    <xf numFmtId="7" fontId="1" fillId="0" borderId="10" xfId="1" applyNumberFormat="1" applyFont="1" applyBorder="1"/>
    <xf numFmtId="5" fontId="1" fillId="0" borderId="10" xfId="1" applyNumberFormat="1" applyFont="1" applyBorder="1"/>
    <xf numFmtId="164" fontId="1" fillId="0" borderId="10" xfId="1" applyNumberFormat="1" applyFont="1" applyBorder="1"/>
    <xf numFmtId="0" fontId="1" fillId="0" borderId="3" xfId="1" applyFont="1" applyBorder="1"/>
    <xf numFmtId="8" fontId="3" fillId="0" borderId="0" xfId="1" applyNumberFormat="1"/>
    <xf numFmtId="164" fontId="3" fillId="0" borderId="0" xfId="1" applyNumberFormat="1"/>
    <xf numFmtId="0" fontId="2" fillId="0" borderId="0" xfId="1" applyFont="1"/>
    <xf numFmtId="7" fontId="2" fillId="0" borderId="7" xfId="1" applyNumberFormat="1" applyFont="1" applyBorder="1"/>
    <xf numFmtId="5" fontId="2" fillId="0" borderId="0" xfId="1" applyNumberFormat="1" applyFont="1"/>
    <xf numFmtId="10" fontId="2" fillId="0" borderId="0" xfId="1" applyNumberFormat="1" applyFont="1"/>
    <xf numFmtId="164" fontId="2" fillId="0" borderId="7" xfId="1" applyNumberFormat="1" applyFont="1" applyBorder="1"/>
    <xf numFmtId="0" fontId="4" fillId="0" borderId="0" xfId="1" applyFont="1"/>
    <xf numFmtId="0" fontId="2" fillId="2" borderId="0" xfId="1" applyFont="1" applyFill="1"/>
    <xf numFmtId="7" fontId="2" fillId="2" borderId="7" xfId="1" applyNumberFormat="1" applyFont="1" applyFill="1" applyBorder="1"/>
    <xf numFmtId="7" fontId="2" fillId="2" borderId="8" xfId="1" applyNumberFormat="1" applyFont="1" applyFill="1" applyBorder="1"/>
    <xf numFmtId="7" fontId="2" fillId="2" borderId="9" xfId="1" applyNumberFormat="1" applyFont="1" applyFill="1" applyBorder="1"/>
    <xf numFmtId="7" fontId="2" fillId="2" borderId="0" xfId="1" applyNumberFormat="1" applyFont="1" applyFill="1"/>
    <xf numFmtId="5" fontId="2" fillId="2" borderId="0" xfId="1" applyNumberFormat="1" applyFont="1" applyFill="1"/>
    <xf numFmtId="10" fontId="2" fillId="2" borderId="0" xfId="1" applyNumberFormat="1" applyFont="1" applyFill="1"/>
    <xf numFmtId="164" fontId="2" fillId="2" borderId="7" xfId="1" applyNumberFormat="1" applyFont="1" applyFill="1" applyBorder="1"/>
    <xf numFmtId="164" fontId="2" fillId="2" borderId="0" xfId="1" applyNumberFormat="1" applyFont="1" applyFill="1"/>
    <xf numFmtId="0" fontId="4" fillId="2" borderId="0" xfId="1" applyFont="1" applyFill="1"/>
    <xf numFmtId="7" fontId="2" fillId="2" borderId="1" xfId="1" applyNumberFormat="1" applyFont="1" applyFill="1" applyBorder="1"/>
    <xf numFmtId="7" fontId="2" fillId="2" borderId="2" xfId="1" applyNumberFormat="1" applyFont="1" applyFill="1" applyBorder="1"/>
    <xf numFmtId="8" fontId="2" fillId="2" borderId="0" xfId="1" applyNumberFormat="1" applyFont="1" applyFill="1"/>
    <xf numFmtId="5" fontId="1" fillId="0" borderId="0" xfId="1" applyNumberFormat="1" applyFont="1" applyBorder="1"/>
    <xf numFmtId="7" fontId="1" fillId="0" borderId="0" xfId="1" applyNumberFormat="1" applyFont="1" applyBorder="1"/>
    <xf numFmtId="7" fontId="1" fillId="0" borderId="1" xfId="1" applyNumberFormat="1" applyFont="1" applyFill="1" applyBorder="1"/>
    <xf numFmtId="7" fontId="2" fillId="2" borderId="11" xfId="1" applyNumberFormat="1" applyFont="1" applyFill="1" applyBorder="1"/>
    <xf numFmtId="7" fontId="2" fillId="2" borderId="5" xfId="1" applyNumberFormat="1" applyFont="1" applyFill="1" applyBorder="1"/>
    <xf numFmtId="7" fontId="2" fillId="2" borderId="6" xfId="1" applyNumberFormat="1" applyFont="1" applyFill="1" applyBorder="1"/>
    <xf numFmtId="7" fontId="2" fillId="2" borderId="12" xfId="1" applyNumberFormat="1" applyFont="1" applyFill="1" applyBorder="1"/>
    <xf numFmtId="7" fontId="1" fillId="0" borderId="2" xfId="1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nancialRep20%20Jan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exp'20 -"/>
      <sheetName val="incexp'92-'10"/>
      <sheetName val="DESG97-11"/>
      <sheetName val="incexp'10-"/>
      <sheetName val="Desg '12-'19"/>
      <sheetName val="Desg '20 on "/>
      <sheetName val="Sheet1"/>
      <sheetName val="MONTH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499"/>
  <sheetViews>
    <sheetView tabSelected="1" zoomScale="86" zoomScaleNormal="86" workbookViewId="0">
      <pane xSplit="1" topLeftCell="B1" activePane="topRight" state="frozen"/>
      <selection activeCell="A12" sqref="A12"/>
      <selection pane="topRight" activeCell="AE91" sqref="AE91"/>
    </sheetView>
  </sheetViews>
  <sheetFormatPr defaultRowHeight="15" x14ac:dyDescent="0.25"/>
  <cols>
    <col min="1" max="1" width="44.44140625" style="42" customWidth="1"/>
    <col min="2" max="15" width="17.6640625" style="40" hidden="1" customWidth="1"/>
    <col min="16" max="17" width="18.88671875" style="40" hidden="1" customWidth="1"/>
    <col min="18" max="25" width="17.6640625" style="40" hidden="1" customWidth="1"/>
    <col min="26" max="26" width="17.44140625" style="40" hidden="1" customWidth="1"/>
    <col min="27" max="27" width="19.33203125" style="40" bestFit="1" customWidth="1"/>
    <col min="28" max="28" width="20" style="40" bestFit="1" customWidth="1"/>
    <col min="29" max="29" width="2.33203125" style="42" customWidth="1"/>
    <col min="30" max="30" width="20.5546875" style="42" customWidth="1"/>
    <col min="31" max="31" width="19.109375" style="42" customWidth="1"/>
    <col min="32" max="33" width="17.44140625" style="42" customWidth="1"/>
    <col min="34" max="34" width="1.6640625" style="42" customWidth="1"/>
    <col min="35" max="35" width="15.44140625" style="42" customWidth="1"/>
    <col min="36" max="36" width="14.5546875" style="42" customWidth="1"/>
    <col min="37" max="37" width="12.5546875" style="42" customWidth="1"/>
    <col min="38" max="40" width="17.6640625" style="40" customWidth="1"/>
    <col min="41" max="42" width="18.88671875" style="40" customWidth="1"/>
    <col min="43" max="48" width="17.6640625" style="40" customWidth="1"/>
    <col min="49" max="49" width="17.88671875" style="40" customWidth="1"/>
    <col min="50" max="51" width="17.6640625" style="41" customWidth="1"/>
    <col min="52" max="52" width="17.6640625" style="42" customWidth="1"/>
    <col min="53" max="53" width="17.6640625" style="41" customWidth="1"/>
    <col min="54" max="54" width="18.88671875" style="42" customWidth="1"/>
    <col min="55" max="55" width="17.6640625" style="42" customWidth="1"/>
    <col min="56" max="56" width="17.6640625" style="41" customWidth="1"/>
    <col min="57" max="57" width="17.6640625" style="42" customWidth="1"/>
    <col min="58" max="58" width="17.6640625" style="41" customWidth="1"/>
    <col min="59" max="59" width="17.6640625" style="42" customWidth="1"/>
    <col min="60" max="60" width="17.6640625" style="41" customWidth="1"/>
    <col min="61" max="64" width="17.6640625" style="42" customWidth="1"/>
    <col min="65" max="65" width="19.109375" style="42" customWidth="1"/>
    <col min="66" max="66" width="18.88671875" style="42" customWidth="1"/>
    <col min="67" max="71" width="17.6640625" style="42" customWidth="1"/>
    <col min="72" max="72" width="17.6640625" style="84" customWidth="1"/>
    <col min="73" max="73" width="17.6640625" style="85" customWidth="1"/>
    <col min="74" max="77" width="17.6640625" style="42" customWidth="1"/>
    <col min="78" max="78" width="19.109375" style="42" customWidth="1"/>
    <col min="79" max="84" width="17.6640625" style="42" customWidth="1"/>
    <col min="85" max="85" width="17.6640625" style="84" customWidth="1"/>
    <col min="86" max="87" width="17.6640625" style="42" customWidth="1"/>
    <col min="88" max="88" width="18.5546875" style="42" customWidth="1"/>
    <col min="89" max="90" width="18.88671875" style="42" customWidth="1"/>
    <col min="91" max="91" width="19.109375" style="42" customWidth="1"/>
    <col min="92" max="100" width="17.6640625" style="42" customWidth="1"/>
    <col min="101" max="101" width="18.5546875" style="42" customWidth="1"/>
    <col min="102" max="102" width="18.88671875" style="42" customWidth="1"/>
    <col min="103" max="112" width="17.6640625" style="42" customWidth="1"/>
    <col min="113" max="113" width="18.5546875" style="42" customWidth="1"/>
    <col min="114" max="114" width="19.109375" style="42" customWidth="1"/>
    <col min="115" max="119" width="17.6640625" style="42" customWidth="1"/>
    <col min="120" max="120" width="18.5546875" style="42" customWidth="1"/>
    <col min="121" max="125" width="17.6640625" style="42" customWidth="1"/>
    <col min="126" max="126" width="18.5546875" style="42" customWidth="1"/>
    <col min="127" max="137" width="17.6640625" style="42" customWidth="1"/>
    <col min="138" max="138" width="18.5546875" style="42" customWidth="1"/>
    <col min="139" max="144" width="17.6640625" style="42" customWidth="1"/>
    <col min="145" max="145" width="18.5546875" style="42" customWidth="1"/>
    <col min="146" max="256" width="8.88671875" style="42"/>
    <col min="257" max="257" width="44.44140625" style="42" customWidth="1"/>
    <col min="258" max="282" width="0" style="42" hidden="1" customWidth="1"/>
    <col min="283" max="283" width="19.33203125" style="42" bestFit="1" customWidth="1"/>
    <col min="284" max="284" width="20" style="42" bestFit="1" customWidth="1"/>
    <col min="285" max="285" width="2.33203125" style="42" customWidth="1"/>
    <col min="286" max="286" width="20.5546875" style="42" customWidth="1"/>
    <col min="287" max="287" width="19.109375" style="42" customWidth="1"/>
    <col min="288" max="289" width="17.44140625" style="42" customWidth="1"/>
    <col min="290" max="290" width="1.6640625" style="42" customWidth="1"/>
    <col min="291" max="291" width="15.44140625" style="42" customWidth="1"/>
    <col min="292" max="293" width="12.5546875" style="42" customWidth="1"/>
    <col min="294" max="296" width="17.6640625" style="42" customWidth="1"/>
    <col min="297" max="298" width="18.88671875" style="42" customWidth="1"/>
    <col min="299" max="304" width="17.6640625" style="42" customWidth="1"/>
    <col min="305" max="305" width="17.88671875" style="42" customWidth="1"/>
    <col min="306" max="309" width="17.6640625" style="42" customWidth="1"/>
    <col min="310" max="310" width="18.88671875" style="42" customWidth="1"/>
    <col min="311" max="320" width="17.6640625" style="42" customWidth="1"/>
    <col min="321" max="321" width="19.109375" style="42" customWidth="1"/>
    <col min="322" max="322" width="18.88671875" style="42" customWidth="1"/>
    <col min="323" max="333" width="17.6640625" style="42" customWidth="1"/>
    <col min="334" max="334" width="19.109375" style="42" customWidth="1"/>
    <col min="335" max="343" width="17.6640625" style="42" customWidth="1"/>
    <col min="344" max="344" width="18.5546875" style="42" customWidth="1"/>
    <col min="345" max="346" width="18.88671875" style="42" customWidth="1"/>
    <col min="347" max="347" width="19.109375" style="42" customWidth="1"/>
    <col min="348" max="356" width="17.6640625" style="42" customWidth="1"/>
    <col min="357" max="357" width="18.5546875" style="42" customWidth="1"/>
    <col min="358" max="358" width="18.88671875" style="42" customWidth="1"/>
    <col min="359" max="368" width="17.6640625" style="42" customWidth="1"/>
    <col min="369" max="369" width="18.5546875" style="42" customWidth="1"/>
    <col min="370" max="370" width="19.109375" style="42" customWidth="1"/>
    <col min="371" max="375" width="17.6640625" style="42" customWidth="1"/>
    <col min="376" max="376" width="18.5546875" style="42" customWidth="1"/>
    <col min="377" max="381" width="17.6640625" style="42" customWidth="1"/>
    <col min="382" max="382" width="18.5546875" style="42" customWidth="1"/>
    <col min="383" max="393" width="17.6640625" style="42" customWidth="1"/>
    <col min="394" max="394" width="18.5546875" style="42" customWidth="1"/>
    <col min="395" max="400" width="17.6640625" style="42" customWidth="1"/>
    <col min="401" max="401" width="18.5546875" style="42" customWidth="1"/>
    <col min="402" max="512" width="8.88671875" style="42"/>
    <col min="513" max="513" width="44.44140625" style="42" customWidth="1"/>
    <col min="514" max="538" width="0" style="42" hidden="1" customWidth="1"/>
    <col min="539" max="539" width="19.33203125" style="42" bestFit="1" customWidth="1"/>
    <col min="540" max="540" width="20" style="42" bestFit="1" customWidth="1"/>
    <col min="541" max="541" width="2.33203125" style="42" customWidth="1"/>
    <col min="542" max="542" width="20.5546875" style="42" customWidth="1"/>
    <col min="543" max="543" width="19.109375" style="42" customWidth="1"/>
    <col min="544" max="545" width="17.44140625" style="42" customWidth="1"/>
    <col min="546" max="546" width="1.6640625" style="42" customWidth="1"/>
    <col min="547" max="547" width="15.44140625" style="42" customWidth="1"/>
    <col min="548" max="549" width="12.5546875" style="42" customWidth="1"/>
    <col min="550" max="552" width="17.6640625" style="42" customWidth="1"/>
    <col min="553" max="554" width="18.88671875" style="42" customWidth="1"/>
    <col min="555" max="560" width="17.6640625" style="42" customWidth="1"/>
    <col min="561" max="561" width="17.88671875" style="42" customWidth="1"/>
    <col min="562" max="565" width="17.6640625" style="42" customWidth="1"/>
    <col min="566" max="566" width="18.88671875" style="42" customWidth="1"/>
    <col min="567" max="576" width="17.6640625" style="42" customWidth="1"/>
    <col min="577" max="577" width="19.109375" style="42" customWidth="1"/>
    <col min="578" max="578" width="18.88671875" style="42" customWidth="1"/>
    <col min="579" max="589" width="17.6640625" style="42" customWidth="1"/>
    <col min="590" max="590" width="19.109375" style="42" customWidth="1"/>
    <col min="591" max="599" width="17.6640625" style="42" customWidth="1"/>
    <col min="600" max="600" width="18.5546875" style="42" customWidth="1"/>
    <col min="601" max="602" width="18.88671875" style="42" customWidth="1"/>
    <col min="603" max="603" width="19.109375" style="42" customWidth="1"/>
    <col min="604" max="612" width="17.6640625" style="42" customWidth="1"/>
    <col min="613" max="613" width="18.5546875" style="42" customWidth="1"/>
    <col min="614" max="614" width="18.88671875" style="42" customWidth="1"/>
    <col min="615" max="624" width="17.6640625" style="42" customWidth="1"/>
    <col min="625" max="625" width="18.5546875" style="42" customWidth="1"/>
    <col min="626" max="626" width="19.109375" style="42" customWidth="1"/>
    <col min="627" max="631" width="17.6640625" style="42" customWidth="1"/>
    <col min="632" max="632" width="18.5546875" style="42" customWidth="1"/>
    <col min="633" max="637" width="17.6640625" style="42" customWidth="1"/>
    <col min="638" max="638" width="18.5546875" style="42" customWidth="1"/>
    <col min="639" max="649" width="17.6640625" style="42" customWidth="1"/>
    <col min="650" max="650" width="18.5546875" style="42" customWidth="1"/>
    <col min="651" max="656" width="17.6640625" style="42" customWidth="1"/>
    <col min="657" max="657" width="18.5546875" style="42" customWidth="1"/>
    <col min="658" max="768" width="8.88671875" style="42"/>
    <col min="769" max="769" width="44.44140625" style="42" customWidth="1"/>
    <col min="770" max="794" width="0" style="42" hidden="1" customWidth="1"/>
    <col min="795" max="795" width="19.33203125" style="42" bestFit="1" customWidth="1"/>
    <col min="796" max="796" width="20" style="42" bestFit="1" customWidth="1"/>
    <col min="797" max="797" width="2.33203125" style="42" customWidth="1"/>
    <col min="798" max="798" width="20.5546875" style="42" customWidth="1"/>
    <col min="799" max="799" width="19.109375" style="42" customWidth="1"/>
    <col min="800" max="801" width="17.44140625" style="42" customWidth="1"/>
    <col min="802" max="802" width="1.6640625" style="42" customWidth="1"/>
    <col min="803" max="803" width="15.44140625" style="42" customWidth="1"/>
    <col min="804" max="805" width="12.5546875" style="42" customWidth="1"/>
    <col min="806" max="808" width="17.6640625" style="42" customWidth="1"/>
    <col min="809" max="810" width="18.88671875" style="42" customWidth="1"/>
    <col min="811" max="816" width="17.6640625" style="42" customWidth="1"/>
    <col min="817" max="817" width="17.88671875" style="42" customWidth="1"/>
    <col min="818" max="821" width="17.6640625" style="42" customWidth="1"/>
    <col min="822" max="822" width="18.88671875" style="42" customWidth="1"/>
    <col min="823" max="832" width="17.6640625" style="42" customWidth="1"/>
    <col min="833" max="833" width="19.109375" style="42" customWidth="1"/>
    <col min="834" max="834" width="18.88671875" style="42" customWidth="1"/>
    <col min="835" max="845" width="17.6640625" style="42" customWidth="1"/>
    <col min="846" max="846" width="19.109375" style="42" customWidth="1"/>
    <col min="847" max="855" width="17.6640625" style="42" customWidth="1"/>
    <col min="856" max="856" width="18.5546875" style="42" customWidth="1"/>
    <col min="857" max="858" width="18.88671875" style="42" customWidth="1"/>
    <col min="859" max="859" width="19.109375" style="42" customWidth="1"/>
    <col min="860" max="868" width="17.6640625" style="42" customWidth="1"/>
    <col min="869" max="869" width="18.5546875" style="42" customWidth="1"/>
    <col min="870" max="870" width="18.88671875" style="42" customWidth="1"/>
    <col min="871" max="880" width="17.6640625" style="42" customWidth="1"/>
    <col min="881" max="881" width="18.5546875" style="42" customWidth="1"/>
    <col min="882" max="882" width="19.109375" style="42" customWidth="1"/>
    <col min="883" max="887" width="17.6640625" style="42" customWidth="1"/>
    <col min="888" max="888" width="18.5546875" style="42" customWidth="1"/>
    <col min="889" max="893" width="17.6640625" style="42" customWidth="1"/>
    <col min="894" max="894" width="18.5546875" style="42" customWidth="1"/>
    <col min="895" max="905" width="17.6640625" style="42" customWidth="1"/>
    <col min="906" max="906" width="18.5546875" style="42" customWidth="1"/>
    <col min="907" max="912" width="17.6640625" style="42" customWidth="1"/>
    <col min="913" max="913" width="18.5546875" style="42" customWidth="1"/>
    <col min="914" max="1024" width="8.88671875" style="42"/>
    <col min="1025" max="1025" width="44.44140625" style="42" customWidth="1"/>
    <col min="1026" max="1050" width="0" style="42" hidden="1" customWidth="1"/>
    <col min="1051" max="1051" width="19.33203125" style="42" bestFit="1" customWidth="1"/>
    <col min="1052" max="1052" width="20" style="42" bestFit="1" customWidth="1"/>
    <col min="1053" max="1053" width="2.33203125" style="42" customWidth="1"/>
    <col min="1054" max="1054" width="20.5546875" style="42" customWidth="1"/>
    <col min="1055" max="1055" width="19.109375" style="42" customWidth="1"/>
    <col min="1056" max="1057" width="17.44140625" style="42" customWidth="1"/>
    <col min="1058" max="1058" width="1.6640625" style="42" customWidth="1"/>
    <col min="1059" max="1059" width="15.44140625" style="42" customWidth="1"/>
    <col min="1060" max="1061" width="12.5546875" style="42" customWidth="1"/>
    <col min="1062" max="1064" width="17.6640625" style="42" customWidth="1"/>
    <col min="1065" max="1066" width="18.88671875" style="42" customWidth="1"/>
    <col min="1067" max="1072" width="17.6640625" style="42" customWidth="1"/>
    <col min="1073" max="1073" width="17.88671875" style="42" customWidth="1"/>
    <col min="1074" max="1077" width="17.6640625" style="42" customWidth="1"/>
    <col min="1078" max="1078" width="18.88671875" style="42" customWidth="1"/>
    <col min="1079" max="1088" width="17.6640625" style="42" customWidth="1"/>
    <col min="1089" max="1089" width="19.109375" style="42" customWidth="1"/>
    <col min="1090" max="1090" width="18.88671875" style="42" customWidth="1"/>
    <col min="1091" max="1101" width="17.6640625" style="42" customWidth="1"/>
    <col min="1102" max="1102" width="19.109375" style="42" customWidth="1"/>
    <col min="1103" max="1111" width="17.6640625" style="42" customWidth="1"/>
    <col min="1112" max="1112" width="18.5546875" style="42" customWidth="1"/>
    <col min="1113" max="1114" width="18.88671875" style="42" customWidth="1"/>
    <col min="1115" max="1115" width="19.109375" style="42" customWidth="1"/>
    <col min="1116" max="1124" width="17.6640625" style="42" customWidth="1"/>
    <col min="1125" max="1125" width="18.5546875" style="42" customWidth="1"/>
    <col min="1126" max="1126" width="18.88671875" style="42" customWidth="1"/>
    <col min="1127" max="1136" width="17.6640625" style="42" customWidth="1"/>
    <col min="1137" max="1137" width="18.5546875" style="42" customWidth="1"/>
    <col min="1138" max="1138" width="19.109375" style="42" customWidth="1"/>
    <col min="1139" max="1143" width="17.6640625" style="42" customWidth="1"/>
    <col min="1144" max="1144" width="18.5546875" style="42" customWidth="1"/>
    <col min="1145" max="1149" width="17.6640625" style="42" customWidth="1"/>
    <col min="1150" max="1150" width="18.5546875" style="42" customWidth="1"/>
    <col min="1151" max="1161" width="17.6640625" style="42" customWidth="1"/>
    <col min="1162" max="1162" width="18.5546875" style="42" customWidth="1"/>
    <col min="1163" max="1168" width="17.6640625" style="42" customWidth="1"/>
    <col min="1169" max="1169" width="18.5546875" style="42" customWidth="1"/>
    <col min="1170" max="1280" width="8.88671875" style="42"/>
    <col min="1281" max="1281" width="44.44140625" style="42" customWidth="1"/>
    <col min="1282" max="1306" width="0" style="42" hidden="1" customWidth="1"/>
    <col min="1307" max="1307" width="19.33203125" style="42" bestFit="1" customWidth="1"/>
    <col min="1308" max="1308" width="20" style="42" bestFit="1" customWidth="1"/>
    <col min="1309" max="1309" width="2.33203125" style="42" customWidth="1"/>
    <col min="1310" max="1310" width="20.5546875" style="42" customWidth="1"/>
    <col min="1311" max="1311" width="19.109375" style="42" customWidth="1"/>
    <col min="1312" max="1313" width="17.44140625" style="42" customWidth="1"/>
    <col min="1314" max="1314" width="1.6640625" style="42" customWidth="1"/>
    <col min="1315" max="1315" width="15.44140625" style="42" customWidth="1"/>
    <col min="1316" max="1317" width="12.5546875" style="42" customWidth="1"/>
    <col min="1318" max="1320" width="17.6640625" style="42" customWidth="1"/>
    <col min="1321" max="1322" width="18.88671875" style="42" customWidth="1"/>
    <col min="1323" max="1328" width="17.6640625" style="42" customWidth="1"/>
    <col min="1329" max="1329" width="17.88671875" style="42" customWidth="1"/>
    <col min="1330" max="1333" width="17.6640625" style="42" customWidth="1"/>
    <col min="1334" max="1334" width="18.88671875" style="42" customWidth="1"/>
    <col min="1335" max="1344" width="17.6640625" style="42" customWidth="1"/>
    <col min="1345" max="1345" width="19.109375" style="42" customWidth="1"/>
    <col min="1346" max="1346" width="18.88671875" style="42" customWidth="1"/>
    <col min="1347" max="1357" width="17.6640625" style="42" customWidth="1"/>
    <col min="1358" max="1358" width="19.109375" style="42" customWidth="1"/>
    <col min="1359" max="1367" width="17.6640625" style="42" customWidth="1"/>
    <col min="1368" max="1368" width="18.5546875" style="42" customWidth="1"/>
    <col min="1369" max="1370" width="18.88671875" style="42" customWidth="1"/>
    <col min="1371" max="1371" width="19.109375" style="42" customWidth="1"/>
    <col min="1372" max="1380" width="17.6640625" style="42" customWidth="1"/>
    <col min="1381" max="1381" width="18.5546875" style="42" customWidth="1"/>
    <col min="1382" max="1382" width="18.88671875" style="42" customWidth="1"/>
    <col min="1383" max="1392" width="17.6640625" style="42" customWidth="1"/>
    <col min="1393" max="1393" width="18.5546875" style="42" customWidth="1"/>
    <col min="1394" max="1394" width="19.109375" style="42" customWidth="1"/>
    <col min="1395" max="1399" width="17.6640625" style="42" customWidth="1"/>
    <col min="1400" max="1400" width="18.5546875" style="42" customWidth="1"/>
    <col min="1401" max="1405" width="17.6640625" style="42" customWidth="1"/>
    <col min="1406" max="1406" width="18.5546875" style="42" customWidth="1"/>
    <col min="1407" max="1417" width="17.6640625" style="42" customWidth="1"/>
    <col min="1418" max="1418" width="18.5546875" style="42" customWidth="1"/>
    <col min="1419" max="1424" width="17.6640625" style="42" customWidth="1"/>
    <col min="1425" max="1425" width="18.5546875" style="42" customWidth="1"/>
    <col min="1426" max="1536" width="8.88671875" style="42"/>
    <col min="1537" max="1537" width="44.44140625" style="42" customWidth="1"/>
    <col min="1538" max="1562" width="0" style="42" hidden="1" customWidth="1"/>
    <col min="1563" max="1563" width="19.33203125" style="42" bestFit="1" customWidth="1"/>
    <col min="1564" max="1564" width="20" style="42" bestFit="1" customWidth="1"/>
    <col min="1565" max="1565" width="2.33203125" style="42" customWidth="1"/>
    <col min="1566" max="1566" width="20.5546875" style="42" customWidth="1"/>
    <col min="1567" max="1567" width="19.109375" style="42" customWidth="1"/>
    <col min="1568" max="1569" width="17.44140625" style="42" customWidth="1"/>
    <col min="1570" max="1570" width="1.6640625" style="42" customWidth="1"/>
    <col min="1571" max="1571" width="15.44140625" style="42" customWidth="1"/>
    <col min="1572" max="1573" width="12.5546875" style="42" customWidth="1"/>
    <col min="1574" max="1576" width="17.6640625" style="42" customWidth="1"/>
    <col min="1577" max="1578" width="18.88671875" style="42" customWidth="1"/>
    <col min="1579" max="1584" width="17.6640625" style="42" customWidth="1"/>
    <col min="1585" max="1585" width="17.88671875" style="42" customWidth="1"/>
    <col min="1586" max="1589" width="17.6640625" style="42" customWidth="1"/>
    <col min="1590" max="1590" width="18.88671875" style="42" customWidth="1"/>
    <col min="1591" max="1600" width="17.6640625" style="42" customWidth="1"/>
    <col min="1601" max="1601" width="19.109375" style="42" customWidth="1"/>
    <col min="1602" max="1602" width="18.88671875" style="42" customWidth="1"/>
    <col min="1603" max="1613" width="17.6640625" style="42" customWidth="1"/>
    <col min="1614" max="1614" width="19.109375" style="42" customWidth="1"/>
    <col min="1615" max="1623" width="17.6640625" style="42" customWidth="1"/>
    <col min="1624" max="1624" width="18.5546875" style="42" customWidth="1"/>
    <col min="1625" max="1626" width="18.88671875" style="42" customWidth="1"/>
    <col min="1627" max="1627" width="19.109375" style="42" customWidth="1"/>
    <col min="1628" max="1636" width="17.6640625" style="42" customWidth="1"/>
    <col min="1637" max="1637" width="18.5546875" style="42" customWidth="1"/>
    <col min="1638" max="1638" width="18.88671875" style="42" customWidth="1"/>
    <col min="1639" max="1648" width="17.6640625" style="42" customWidth="1"/>
    <col min="1649" max="1649" width="18.5546875" style="42" customWidth="1"/>
    <col min="1650" max="1650" width="19.109375" style="42" customWidth="1"/>
    <col min="1651" max="1655" width="17.6640625" style="42" customWidth="1"/>
    <col min="1656" max="1656" width="18.5546875" style="42" customWidth="1"/>
    <col min="1657" max="1661" width="17.6640625" style="42" customWidth="1"/>
    <col min="1662" max="1662" width="18.5546875" style="42" customWidth="1"/>
    <col min="1663" max="1673" width="17.6640625" style="42" customWidth="1"/>
    <col min="1674" max="1674" width="18.5546875" style="42" customWidth="1"/>
    <col min="1675" max="1680" width="17.6640625" style="42" customWidth="1"/>
    <col min="1681" max="1681" width="18.5546875" style="42" customWidth="1"/>
    <col min="1682" max="1792" width="8.88671875" style="42"/>
    <col min="1793" max="1793" width="44.44140625" style="42" customWidth="1"/>
    <col min="1794" max="1818" width="0" style="42" hidden="1" customWidth="1"/>
    <col min="1819" max="1819" width="19.33203125" style="42" bestFit="1" customWidth="1"/>
    <col min="1820" max="1820" width="20" style="42" bestFit="1" customWidth="1"/>
    <col min="1821" max="1821" width="2.33203125" style="42" customWidth="1"/>
    <col min="1822" max="1822" width="20.5546875" style="42" customWidth="1"/>
    <col min="1823" max="1823" width="19.109375" style="42" customWidth="1"/>
    <col min="1824" max="1825" width="17.44140625" style="42" customWidth="1"/>
    <col min="1826" max="1826" width="1.6640625" style="42" customWidth="1"/>
    <col min="1827" max="1827" width="15.44140625" style="42" customWidth="1"/>
    <col min="1828" max="1829" width="12.5546875" style="42" customWidth="1"/>
    <col min="1830" max="1832" width="17.6640625" style="42" customWidth="1"/>
    <col min="1833" max="1834" width="18.88671875" style="42" customWidth="1"/>
    <col min="1835" max="1840" width="17.6640625" style="42" customWidth="1"/>
    <col min="1841" max="1841" width="17.88671875" style="42" customWidth="1"/>
    <col min="1842" max="1845" width="17.6640625" style="42" customWidth="1"/>
    <col min="1846" max="1846" width="18.88671875" style="42" customWidth="1"/>
    <col min="1847" max="1856" width="17.6640625" style="42" customWidth="1"/>
    <col min="1857" max="1857" width="19.109375" style="42" customWidth="1"/>
    <col min="1858" max="1858" width="18.88671875" style="42" customWidth="1"/>
    <col min="1859" max="1869" width="17.6640625" style="42" customWidth="1"/>
    <col min="1870" max="1870" width="19.109375" style="42" customWidth="1"/>
    <col min="1871" max="1879" width="17.6640625" style="42" customWidth="1"/>
    <col min="1880" max="1880" width="18.5546875" style="42" customWidth="1"/>
    <col min="1881" max="1882" width="18.88671875" style="42" customWidth="1"/>
    <col min="1883" max="1883" width="19.109375" style="42" customWidth="1"/>
    <col min="1884" max="1892" width="17.6640625" style="42" customWidth="1"/>
    <col min="1893" max="1893" width="18.5546875" style="42" customWidth="1"/>
    <col min="1894" max="1894" width="18.88671875" style="42" customWidth="1"/>
    <col min="1895" max="1904" width="17.6640625" style="42" customWidth="1"/>
    <col min="1905" max="1905" width="18.5546875" style="42" customWidth="1"/>
    <col min="1906" max="1906" width="19.109375" style="42" customWidth="1"/>
    <col min="1907" max="1911" width="17.6640625" style="42" customWidth="1"/>
    <col min="1912" max="1912" width="18.5546875" style="42" customWidth="1"/>
    <col min="1913" max="1917" width="17.6640625" style="42" customWidth="1"/>
    <col min="1918" max="1918" width="18.5546875" style="42" customWidth="1"/>
    <col min="1919" max="1929" width="17.6640625" style="42" customWidth="1"/>
    <col min="1930" max="1930" width="18.5546875" style="42" customWidth="1"/>
    <col min="1931" max="1936" width="17.6640625" style="42" customWidth="1"/>
    <col min="1937" max="1937" width="18.5546875" style="42" customWidth="1"/>
    <col min="1938" max="2048" width="8.88671875" style="42"/>
    <col min="2049" max="2049" width="44.44140625" style="42" customWidth="1"/>
    <col min="2050" max="2074" width="0" style="42" hidden="1" customWidth="1"/>
    <col min="2075" max="2075" width="19.33203125" style="42" bestFit="1" customWidth="1"/>
    <col min="2076" max="2076" width="20" style="42" bestFit="1" customWidth="1"/>
    <col min="2077" max="2077" width="2.33203125" style="42" customWidth="1"/>
    <col min="2078" max="2078" width="20.5546875" style="42" customWidth="1"/>
    <col min="2079" max="2079" width="19.109375" style="42" customWidth="1"/>
    <col min="2080" max="2081" width="17.44140625" style="42" customWidth="1"/>
    <col min="2082" max="2082" width="1.6640625" style="42" customWidth="1"/>
    <col min="2083" max="2083" width="15.44140625" style="42" customWidth="1"/>
    <col min="2084" max="2085" width="12.5546875" style="42" customWidth="1"/>
    <col min="2086" max="2088" width="17.6640625" style="42" customWidth="1"/>
    <col min="2089" max="2090" width="18.88671875" style="42" customWidth="1"/>
    <col min="2091" max="2096" width="17.6640625" style="42" customWidth="1"/>
    <col min="2097" max="2097" width="17.88671875" style="42" customWidth="1"/>
    <col min="2098" max="2101" width="17.6640625" style="42" customWidth="1"/>
    <col min="2102" max="2102" width="18.88671875" style="42" customWidth="1"/>
    <col min="2103" max="2112" width="17.6640625" style="42" customWidth="1"/>
    <col min="2113" max="2113" width="19.109375" style="42" customWidth="1"/>
    <col min="2114" max="2114" width="18.88671875" style="42" customWidth="1"/>
    <col min="2115" max="2125" width="17.6640625" style="42" customWidth="1"/>
    <col min="2126" max="2126" width="19.109375" style="42" customWidth="1"/>
    <col min="2127" max="2135" width="17.6640625" style="42" customWidth="1"/>
    <col min="2136" max="2136" width="18.5546875" style="42" customWidth="1"/>
    <col min="2137" max="2138" width="18.88671875" style="42" customWidth="1"/>
    <col min="2139" max="2139" width="19.109375" style="42" customWidth="1"/>
    <col min="2140" max="2148" width="17.6640625" style="42" customWidth="1"/>
    <col min="2149" max="2149" width="18.5546875" style="42" customWidth="1"/>
    <col min="2150" max="2150" width="18.88671875" style="42" customWidth="1"/>
    <col min="2151" max="2160" width="17.6640625" style="42" customWidth="1"/>
    <col min="2161" max="2161" width="18.5546875" style="42" customWidth="1"/>
    <col min="2162" max="2162" width="19.109375" style="42" customWidth="1"/>
    <col min="2163" max="2167" width="17.6640625" style="42" customWidth="1"/>
    <col min="2168" max="2168" width="18.5546875" style="42" customWidth="1"/>
    <col min="2169" max="2173" width="17.6640625" style="42" customWidth="1"/>
    <col min="2174" max="2174" width="18.5546875" style="42" customWidth="1"/>
    <col min="2175" max="2185" width="17.6640625" style="42" customWidth="1"/>
    <col min="2186" max="2186" width="18.5546875" style="42" customWidth="1"/>
    <col min="2187" max="2192" width="17.6640625" style="42" customWidth="1"/>
    <col min="2193" max="2193" width="18.5546875" style="42" customWidth="1"/>
    <col min="2194" max="2304" width="8.88671875" style="42"/>
    <col min="2305" max="2305" width="44.44140625" style="42" customWidth="1"/>
    <col min="2306" max="2330" width="0" style="42" hidden="1" customWidth="1"/>
    <col min="2331" max="2331" width="19.33203125" style="42" bestFit="1" customWidth="1"/>
    <col min="2332" max="2332" width="20" style="42" bestFit="1" customWidth="1"/>
    <col min="2333" max="2333" width="2.33203125" style="42" customWidth="1"/>
    <col min="2334" max="2334" width="20.5546875" style="42" customWidth="1"/>
    <col min="2335" max="2335" width="19.109375" style="42" customWidth="1"/>
    <col min="2336" max="2337" width="17.44140625" style="42" customWidth="1"/>
    <col min="2338" max="2338" width="1.6640625" style="42" customWidth="1"/>
    <col min="2339" max="2339" width="15.44140625" style="42" customWidth="1"/>
    <col min="2340" max="2341" width="12.5546875" style="42" customWidth="1"/>
    <col min="2342" max="2344" width="17.6640625" style="42" customWidth="1"/>
    <col min="2345" max="2346" width="18.88671875" style="42" customWidth="1"/>
    <col min="2347" max="2352" width="17.6640625" style="42" customWidth="1"/>
    <col min="2353" max="2353" width="17.88671875" style="42" customWidth="1"/>
    <col min="2354" max="2357" width="17.6640625" style="42" customWidth="1"/>
    <col min="2358" max="2358" width="18.88671875" style="42" customWidth="1"/>
    <col min="2359" max="2368" width="17.6640625" style="42" customWidth="1"/>
    <col min="2369" max="2369" width="19.109375" style="42" customWidth="1"/>
    <col min="2370" max="2370" width="18.88671875" style="42" customWidth="1"/>
    <col min="2371" max="2381" width="17.6640625" style="42" customWidth="1"/>
    <col min="2382" max="2382" width="19.109375" style="42" customWidth="1"/>
    <col min="2383" max="2391" width="17.6640625" style="42" customWidth="1"/>
    <col min="2392" max="2392" width="18.5546875" style="42" customWidth="1"/>
    <col min="2393" max="2394" width="18.88671875" style="42" customWidth="1"/>
    <col min="2395" max="2395" width="19.109375" style="42" customWidth="1"/>
    <col min="2396" max="2404" width="17.6640625" style="42" customWidth="1"/>
    <col min="2405" max="2405" width="18.5546875" style="42" customWidth="1"/>
    <col min="2406" max="2406" width="18.88671875" style="42" customWidth="1"/>
    <col min="2407" max="2416" width="17.6640625" style="42" customWidth="1"/>
    <col min="2417" max="2417" width="18.5546875" style="42" customWidth="1"/>
    <col min="2418" max="2418" width="19.109375" style="42" customWidth="1"/>
    <col min="2419" max="2423" width="17.6640625" style="42" customWidth="1"/>
    <col min="2424" max="2424" width="18.5546875" style="42" customWidth="1"/>
    <col min="2425" max="2429" width="17.6640625" style="42" customWidth="1"/>
    <col min="2430" max="2430" width="18.5546875" style="42" customWidth="1"/>
    <col min="2431" max="2441" width="17.6640625" style="42" customWidth="1"/>
    <col min="2442" max="2442" width="18.5546875" style="42" customWidth="1"/>
    <col min="2443" max="2448" width="17.6640625" style="42" customWidth="1"/>
    <col min="2449" max="2449" width="18.5546875" style="42" customWidth="1"/>
    <col min="2450" max="2560" width="8.88671875" style="42"/>
    <col min="2561" max="2561" width="44.44140625" style="42" customWidth="1"/>
    <col min="2562" max="2586" width="0" style="42" hidden="1" customWidth="1"/>
    <col min="2587" max="2587" width="19.33203125" style="42" bestFit="1" customWidth="1"/>
    <col min="2588" max="2588" width="20" style="42" bestFit="1" customWidth="1"/>
    <col min="2589" max="2589" width="2.33203125" style="42" customWidth="1"/>
    <col min="2590" max="2590" width="20.5546875" style="42" customWidth="1"/>
    <col min="2591" max="2591" width="19.109375" style="42" customWidth="1"/>
    <col min="2592" max="2593" width="17.44140625" style="42" customWidth="1"/>
    <col min="2594" max="2594" width="1.6640625" style="42" customWidth="1"/>
    <col min="2595" max="2595" width="15.44140625" style="42" customWidth="1"/>
    <col min="2596" max="2597" width="12.5546875" style="42" customWidth="1"/>
    <col min="2598" max="2600" width="17.6640625" style="42" customWidth="1"/>
    <col min="2601" max="2602" width="18.88671875" style="42" customWidth="1"/>
    <col min="2603" max="2608" width="17.6640625" style="42" customWidth="1"/>
    <col min="2609" max="2609" width="17.88671875" style="42" customWidth="1"/>
    <col min="2610" max="2613" width="17.6640625" style="42" customWidth="1"/>
    <col min="2614" max="2614" width="18.88671875" style="42" customWidth="1"/>
    <col min="2615" max="2624" width="17.6640625" style="42" customWidth="1"/>
    <col min="2625" max="2625" width="19.109375" style="42" customWidth="1"/>
    <col min="2626" max="2626" width="18.88671875" style="42" customWidth="1"/>
    <col min="2627" max="2637" width="17.6640625" style="42" customWidth="1"/>
    <col min="2638" max="2638" width="19.109375" style="42" customWidth="1"/>
    <col min="2639" max="2647" width="17.6640625" style="42" customWidth="1"/>
    <col min="2648" max="2648" width="18.5546875" style="42" customWidth="1"/>
    <col min="2649" max="2650" width="18.88671875" style="42" customWidth="1"/>
    <col min="2651" max="2651" width="19.109375" style="42" customWidth="1"/>
    <col min="2652" max="2660" width="17.6640625" style="42" customWidth="1"/>
    <col min="2661" max="2661" width="18.5546875" style="42" customWidth="1"/>
    <col min="2662" max="2662" width="18.88671875" style="42" customWidth="1"/>
    <col min="2663" max="2672" width="17.6640625" style="42" customWidth="1"/>
    <col min="2673" max="2673" width="18.5546875" style="42" customWidth="1"/>
    <col min="2674" max="2674" width="19.109375" style="42" customWidth="1"/>
    <col min="2675" max="2679" width="17.6640625" style="42" customWidth="1"/>
    <col min="2680" max="2680" width="18.5546875" style="42" customWidth="1"/>
    <col min="2681" max="2685" width="17.6640625" style="42" customWidth="1"/>
    <col min="2686" max="2686" width="18.5546875" style="42" customWidth="1"/>
    <col min="2687" max="2697" width="17.6640625" style="42" customWidth="1"/>
    <col min="2698" max="2698" width="18.5546875" style="42" customWidth="1"/>
    <col min="2699" max="2704" width="17.6640625" style="42" customWidth="1"/>
    <col min="2705" max="2705" width="18.5546875" style="42" customWidth="1"/>
    <col min="2706" max="2816" width="8.88671875" style="42"/>
    <col min="2817" max="2817" width="44.44140625" style="42" customWidth="1"/>
    <col min="2818" max="2842" width="0" style="42" hidden="1" customWidth="1"/>
    <col min="2843" max="2843" width="19.33203125" style="42" bestFit="1" customWidth="1"/>
    <col min="2844" max="2844" width="20" style="42" bestFit="1" customWidth="1"/>
    <col min="2845" max="2845" width="2.33203125" style="42" customWidth="1"/>
    <col min="2846" max="2846" width="20.5546875" style="42" customWidth="1"/>
    <col min="2847" max="2847" width="19.109375" style="42" customWidth="1"/>
    <col min="2848" max="2849" width="17.44140625" style="42" customWidth="1"/>
    <col min="2850" max="2850" width="1.6640625" style="42" customWidth="1"/>
    <col min="2851" max="2851" width="15.44140625" style="42" customWidth="1"/>
    <col min="2852" max="2853" width="12.5546875" style="42" customWidth="1"/>
    <col min="2854" max="2856" width="17.6640625" style="42" customWidth="1"/>
    <col min="2857" max="2858" width="18.88671875" style="42" customWidth="1"/>
    <col min="2859" max="2864" width="17.6640625" style="42" customWidth="1"/>
    <col min="2865" max="2865" width="17.88671875" style="42" customWidth="1"/>
    <col min="2866" max="2869" width="17.6640625" style="42" customWidth="1"/>
    <col min="2870" max="2870" width="18.88671875" style="42" customWidth="1"/>
    <col min="2871" max="2880" width="17.6640625" style="42" customWidth="1"/>
    <col min="2881" max="2881" width="19.109375" style="42" customWidth="1"/>
    <col min="2882" max="2882" width="18.88671875" style="42" customWidth="1"/>
    <col min="2883" max="2893" width="17.6640625" style="42" customWidth="1"/>
    <col min="2894" max="2894" width="19.109375" style="42" customWidth="1"/>
    <col min="2895" max="2903" width="17.6640625" style="42" customWidth="1"/>
    <col min="2904" max="2904" width="18.5546875" style="42" customWidth="1"/>
    <col min="2905" max="2906" width="18.88671875" style="42" customWidth="1"/>
    <col min="2907" max="2907" width="19.109375" style="42" customWidth="1"/>
    <col min="2908" max="2916" width="17.6640625" style="42" customWidth="1"/>
    <col min="2917" max="2917" width="18.5546875" style="42" customWidth="1"/>
    <col min="2918" max="2918" width="18.88671875" style="42" customWidth="1"/>
    <col min="2919" max="2928" width="17.6640625" style="42" customWidth="1"/>
    <col min="2929" max="2929" width="18.5546875" style="42" customWidth="1"/>
    <col min="2930" max="2930" width="19.109375" style="42" customWidth="1"/>
    <col min="2931" max="2935" width="17.6640625" style="42" customWidth="1"/>
    <col min="2936" max="2936" width="18.5546875" style="42" customWidth="1"/>
    <col min="2937" max="2941" width="17.6640625" style="42" customWidth="1"/>
    <col min="2942" max="2942" width="18.5546875" style="42" customWidth="1"/>
    <col min="2943" max="2953" width="17.6640625" style="42" customWidth="1"/>
    <col min="2954" max="2954" width="18.5546875" style="42" customWidth="1"/>
    <col min="2955" max="2960" width="17.6640625" style="42" customWidth="1"/>
    <col min="2961" max="2961" width="18.5546875" style="42" customWidth="1"/>
    <col min="2962" max="3072" width="8.88671875" style="42"/>
    <col min="3073" max="3073" width="44.44140625" style="42" customWidth="1"/>
    <col min="3074" max="3098" width="0" style="42" hidden="1" customWidth="1"/>
    <col min="3099" max="3099" width="19.33203125" style="42" bestFit="1" customWidth="1"/>
    <col min="3100" max="3100" width="20" style="42" bestFit="1" customWidth="1"/>
    <col min="3101" max="3101" width="2.33203125" style="42" customWidth="1"/>
    <col min="3102" max="3102" width="20.5546875" style="42" customWidth="1"/>
    <col min="3103" max="3103" width="19.109375" style="42" customWidth="1"/>
    <col min="3104" max="3105" width="17.44140625" style="42" customWidth="1"/>
    <col min="3106" max="3106" width="1.6640625" style="42" customWidth="1"/>
    <col min="3107" max="3107" width="15.44140625" style="42" customWidth="1"/>
    <col min="3108" max="3109" width="12.5546875" style="42" customWidth="1"/>
    <col min="3110" max="3112" width="17.6640625" style="42" customWidth="1"/>
    <col min="3113" max="3114" width="18.88671875" style="42" customWidth="1"/>
    <col min="3115" max="3120" width="17.6640625" style="42" customWidth="1"/>
    <col min="3121" max="3121" width="17.88671875" style="42" customWidth="1"/>
    <col min="3122" max="3125" width="17.6640625" style="42" customWidth="1"/>
    <col min="3126" max="3126" width="18.88671875" style="42" customWidth="1"/>
    <col min="3127" max="3136" width="17.6640625" style="42" customWidth="1"/>
    <col min="3137" max="3137" width="19.109375" style="42" customWidth="1"/>
    <col min="3138" max="3138" width="18.88671875" style="42" customWidth="1"/>
    <col min="3139" max="3149" width="17.6640625" style="42" customWidth="1"/>
    <col min="3150" max="3150" width="19.109375" style="42" customWidth="1"/>
    <col min="3151" max="3159" width="17.6640625" style="42" customWidth="1"/>
    <col min="3160" max="3160" width="18.5546875" style="42" customWidth="1"/>
    <col min="3161" max="3162" width="18.88671875" style="42" customWidth="1"/>
    <col min="3163" max="3163" width="19.109375" style="42" customWidth="1"/>
    <col min="3164" max="3172" width="17.6640625" style="42" customWidth="1"/>
    <col min="3173" max="3173" width="18.5546875" style="42" customWidth="1"/>
    <col min="3174" max="3174" width="18.88671875" style="42" customWidth="1"/>
    <col min="3175" max="3184" width="17.6640625" style="42" customWidth="1"/>
    <col min="3185" max="3185" width="18.5546875" style="42" customWidth="1"/>
    <col min="3186" max="3186" width="19.109375" style="42" customWidth="1"/>
    <col min="3187" max="3191" width="17.6640625" style="42" customWidth="1"/>
    <col min="3192" max="3192" width="18.5546875" style="42" customWidth="1"/>
    <col min="3193" max="3197" width="17.6640625" style="42" customWidth="1"/>
    <col min="3198" max="3198" width="18.5546875" style="42" customWidth="1"/>
    <col min="3199" max="3209" width="17.6640625" style="42" customWidth="1"/>
    <col min="3210" max="3210" width="18.5546875" style="42" customWidth="1"/>
    <col min="3211" max="3216" width="17.6640625" style="42" customWidth="1"/>
    <col min="3217" max="3217" width="18.5546875" style="42" customWidth="1"/>
    <col min="3218" max="3328" width="8.88671875" style="42"/>
    <col min="3329" max="3329" width="44.44140625" style="42" customWidth="1"/>
    <col min="3330" max="3354" width="0" style="42" hidden="1" customWidth="1"/>
    <col min="3355" max="3355" width="19.33203125" style="42" bestFit="1" customWidth="1"/>
    <col min="3356" max="3356" width="20" style="42" bestFit="1" customWidth="1"/>
    <col min="3357" max="3357" width="2.33203125" style="42" customWidth="1"/>
    <col min="3358" max="3358" width="20.5546875" style="42" customWidth="1"/>
    <col min="3359" max="3359" width="19.109375" style="42" customWidth="1"/>
    <col min="3360" max="3361" width="17.44140625" style="42" customWidth="1"/>
    <col min="3362" max="3362" width="1.6640625" style="42" customWidth="1"/>
    <col min="3363" max="3363" width="15.44140625" style="42" customWidth="1"/>
    <col min="3364" max="3365" width="12.5546875" style="42" customWidth="1"/>
    <col min="3366" max="3368" width="17.6640625" style="42" customWidth="1"/>
    <col min="3369" max="3370" width="18.88671875" style="42" customWidth="1"/>
    <col min="3371" max="3376" width="17.6640625" style="42" customWidth="1"/>
    <col min="3377" max="3377" width="17.88671875" style="42" customWidth="1"/>
    <col min="3378" max="3381" width="17.6640625" style="42" customWidth="1"/>
    <col min="3382" max="3382" width="18.88671875" style="42" customWidth="1"/>
    <col min="3383" max="3392" width="17.6640625" style="42" customWidth="1"/>
    <col min="3393" max="3393" width="19.109375" style="42" customWidth="1"/>
    <col min="3394" max="3394" width="18.88671875" style="42" customWidth="1"/>
    <col min="3395" max="3405" width="17.6640625" style="42" customWidth="1"/>
    <col min="3406" max="3406" width="19.109375" style="42" customWidth="1"/>
    <col min="3407" max="3415" width="17.6640625" style="42" customWidth="1"/>
    <col min="3416" max="3416" width="18.5546875" style="42" customWidth="1"/>
    <col min="3417" max="3418" width="18.88671875" style="42" customWidth="1"/>
    <col min="3419" max="3419" width="19.109375" style="42" customWidth="1"/>
    <col min="3420" max="3428" width="17.6640625" style="42" customWidth="1"/>
    <col min="3429" max="3429" width="18.5546875" style="42" customWidth="1"/>
    <col min="3430" max="3430" width="18.88671875" style="42" customWidth="1"/>
    <col min="3431" max="3440" width="17.6640625" style="42" customWidth="1"/>
    <col min="3441" max="3441" width="18.5546875" style="42" customWidth="1"/>
    <col min="3442" max="3442" width="19.109375" style="42" customWidth="1"/>
    <col min="3443" max="3447" width="17.6640625" style="42" customWidth="1"/>
    <col min="3448" max="3448" width="18.5546875" style="42" customWidth="1"/>
    <col min="3449" max="3453" width="17.6640625" style="42" customWidth="1"/>
    <col min="3454" max="3454" width="18.5546875" style="42" customWidth="1"/>
    <col min="3455" max="3465" width="17.6640625" style="42" customWidth="1"/>
    <col min="3466" max="3466" width="18.5546875" style="42" customWidth="1"/>
    <col min="3467" max="3472" width="17.6640625" style="42" customWidth="1"/>
    <col min="3473" max="3473" width="18.5546875" style="42" customWidth="1"/>
    <col min="3474" max="3584" width="8.88671875" style="42"/>
    <col min="3585" max="3585" width="44.44140625" style="42" customWidth="1"/>
    <col min="3586" max="3610" width="0" style="42" hidden="1" customWidth="1"/>
    <col min="3611" max="3611" width="19.33203125" style="42" bestFit="1" customWidth="1"/>
    <col min="3612" max="3612" width="20" style="42" bestFit="1" customWidth="1"/>
    <col min="3613" max="3613" width="2.33203125" style="42" customWidth="1"/>
    <col min="3614" max="3614" width="20.5546875" style="42" customWidth="1"/>
    <col min="3615" max="3615" width="19.109375" style="42" customWidth="1"/>
    <col min="3616" max="3617" width="17.44140625" style="42" customWidth="1"/>
    <col min="3618" max="3618" width="1.6640625" style="42" customWidth="1"/>
    <col min="3619" max="3619" width="15.44140625" style="42" customWidth="1"/>
    <col min="3620" max="3621" width="12.5546875" style="42" customWidth="1"/>
    <col min="3622" max="3624" width="17.6640625" style="42" customWidth="1"/>
    <col min="3625" max="3626" width="18.88671875" style="42" customWidth="1"/>
    <col min="3627" max="3632" width="17.6640625" style="42" customWidth="1"/>
    <col min="3633" max="3633" width="17.88671875" style="42" customWidth="1"/>
    <col min="3634" max="3637" width="17.6640625" style="42" customWidth="1"/>
    <col min="3638" max="3638" width="18.88671875" style="42" customWidth="1"/>
    <col min="3639" max="3648" width="17.6640625" style="42" customWidth="1"/>
    <col min="3649" max="3649" width="19.109375" style="42" customWidth="1"/>
    <col min="3650" max="3650" width="18.88671875" style="42" customWidth="1"/>
    <col min="3651" max="3661" width="17.6640625" style="42" customWidth="1"/>
    <col min="3662" max="3662" width="19.109375" style="42" customWidth="1"/>
    <col min="3663" max="3671" width="17.6640625" style="42" customWidth="1"/>
    <col min="3672" max="3672" width="18.5546875" style="42" customWidth="1"/>
    <col min="3673" max="3674" width="18.88671875" style="42" customWidth="1"/>
    <col min="3675" max="3675" width="19.109375" style="42" customWidth="1"/>
    <col min="3676" max="3684" width="17.6640625" style="42" customWidth="1"/>
    <col min="3685" max="3685" width="18.5546875" style="42" customWidth="1"/>
    <col min="3686" max="3686" width="18.88671875" style="42" customWidth="1"/>
    <col min="3687" max="3696" width="17.6640625" style="42" customWidth="1"/>
    <col min="3697" max="3697" width="18.5546875" style="42" customWidth="1"/>
    <col min="3698" max="3698" width="19.109375" style="42" customWidth="1"/>
    <col min="3699" max="3703" width="17.6640625" style="42" customWidth="1"/>
    <col min="3704" max="3704" width="18.5546875" style="42" customWidth="1"/>
    <col min="3705" max="3709" width="17.6640625" style="42" customWidth="1"/>
    <col min="3710" max="3710" width="18.5546875" style="42" customWidth="1"/>
    <col min="3711" max="3721" width="17.6640625" style="42" customWidth="1"/>
    <col min="3722" max="3722" width="18.5546875" style="42" customWidth="1"/>
    <col min="3723" max="3728" width="17.6640625" style="42" customWidth="1"/>
    <col min="3729" max="3729" width="18.5546875" style="42" customWidth="1"/>
    <col min="3730" max="3840" width="8.88671875" style="42"/>
    <col min="3841" max="3841" width="44.44140625" style="42" customWidth="1"/>
    <col min="3842" max="3866" width="0" style="42" hidden="1" customWidth="1"/>
    <col min="3867" max="3867" width="19.33203125" style="42" bestFit="1" customWidth="1"/>
    <col min="3868" max="3868" width="20" style="42" bestFit="1" customWidth="1"/>
    <col min="3869" max="3869" width="2.33203125" style="42" customWidth="1"/>
    <col min="3870" max="3870" width="20.5546875" style="42" customWidth="1"/>
    <col min="3871" max="3871" width="19.109375" style="42" customWidth="1"/>
    <col min="3872" max="3873" width="17.44140625" style="42" customWidth="1"/>
    <col min="3874" max="3874" width="1.6640625" style="42" customWidth="1"/>
    <col min="3875" max="3875" width="15.44140625" style="42" customWidth="1"/>
    <col min="3876" max="3877" width="12.5546875" style="42" customWidth="1"/>
    <col min="3878" max="3880" width="17.6640625" style="42" customWidth="1"/>
    <col min="3881" max="3882" width="18.88671875" style="42" customWidth="1"/>
    <col min="3883" max="3888" width="17.6640625" style="42" customWidth="1"/>
    <col min="3889" max="3889" width="17.88671875" style="42" customWidth="1"/>
    <col min="3890" max="3893" width="17.6640625" style="42" customWidth="1"/>
    <col min="3894" max="3894" width="18.88671875" style="42" customWidth="1"/>
    <col min="3895" max="3904" width="17.6640625" style="42" customWidth="1"/>
    <col min="3905" max="3905" width="19.109375" style="42" customWidth="1"/>
    <col min="3906" max="3906" width="18.88671875" style="42" customWidth="1"/>
    <col min="3907" max="3917" width="17.6640625" style="42" customWidth="1"/>
    <col min="3918" max="3918" width="19.109375" style="42" customWidth="1"/>
    <col min="3919" max="3927" width="17.6640625" style="42" customWidth="1"/>
    <col min="3928" max="3928" width="18.5546875" style="42" customWidth="1"/>
    <col min="3929" max="3930" width="18.88671875" style="42" customWidth="1"/>
    <col min="3931" max="3931" width="19.109375" style="42" customWidth="1"/>
    <col min="3932" max="3940" width="17.6640625" style="42" customWidth="1"/>
    <col min="3941" max="3941" width="18.5546875" style="42" customWidth="1"/>
    <col min="3942" max="3942" width="18.88671875" style="42" customWidth="1"/>
    <col min="3943" max="3952" width="17.6640625" style="42" customWidth="1"/>
    <col min="3953" max="3953" width="18.5546875" style="42" customWidth="1"/>
    <col min="3954" max="3954" width="19.109375" style="42" customWidth="1"/>
    <col min="3955" max="3959" width="17.6640625" style="42" customWidth="1"/>
    <col min="3960" max="3960" width="18.5546875" style="42" customWidth="1"/>
    <col min="3961" max="3965" width="17.6640625" style="42" customWidth="1"/>
    <col min="3966" max="3966" width="18.5546875" style="42" customWidth="1"/>
    <col min="3967" max="3977" width="17.6640625" style="42" customWidth="1"/>
    <col min="3978" max="3978" width="18.5546875" style="42" customWidth="1"/>
    <col min="3979" max="3984" width="17.6640625" style="42" customWidth="1"/>
    <col min="3985" max="3985" width="18.5546875" style="42" customWidth="1"/>
    <col min="3986" max="4096" width="8.88671875" style="42"/>
    <col min="4097" max="4097" width="44.44140625" style="42" customWidth="1"/>
    <col min="4098" max="4122" width="0" style="42" hidden="1" customWidth="1"/>
    <col min="4123" max="4123" width="19.33203125" style="42" bestFit="1" customWidth="1"/>
    <col min="4124" max="4124" width="20" style="42" bestFit="1" customWidth="1"/>
    <col min="4125" max="4125" width="2.33203125" style="42" customWidth="1"/>
    <col min="4126" max="4126" width="20.5546875" style="42" customWidth="1"/>
    <col min="4127" max="4127" width="19.109375" style="42" customWidth="1"/>
    <col min="4128" max="4129" width="17.44140625" style="42" customWidth="1"/>
    <col min="4130" max="4130" width="1.6640625" style="42" customWidth="1"/>
    <col min="4131" max="4131" width="15.44140625" style="42" customWidth="1"/>
    <col min="4132" max="4133" width="12.5546875" style="42" customWidth="1"/>
    <col min="4134" max="4136" width="17.6640625" style="42" customWidth="1"/>
    <col min="4137" max="4138" width="18.88671875" style="42" customWidth="1"/>
    <col min="4139" max="4144" width="17.6640625" style="42" customWidth="1"/>
    <col min="4145" max="4145" width="17.88671875" style="42" customWidth="1"/>
    <col min="4146" max="4149" width="17.6640625" style="42" customWidth="1"/>
    <col min="4150" max="4150" width="18.88671875" style="42" customWidth="1"/>
    <col min="4151" max="4160" width="17.6640625" style="42" customWidth="1"/>
    <col min="4161" max="4161" width="19.109375" style="42" customWidth="1"/>
    <col min="4162" max="4162" width="18.88671875" style="42" customWidth="1"/>
    <col min="4163" max="4173" width="17.6640625" style="42" customWidth="1"/>
    <col min="4174" max="4174" width="19.109375" style="42" customWidth="1"/>
    <col min="4175" max="4183" width="17.6640625" style="42" customWidth="1"/>
    <col min="4184" max="4184" width="18.5546875" style="42" customWidth="1"/>
    <col min="4185" max="4186" width="18.88671875" style="42" customWidth="1"/>
    <col min="4187" max="4187" width="19.109375" style="42" customWidth="1"/>
    <col min="4188" max="4196" width="17.6640625" style="42" customWidth="1"/>
    <col min="4197" max="4197" width="18.5546875" style="42" customWidth="1"/>
    <col min="4198" max="4198" width="18.88671875" style="42" customWidth="1"/>
    <col min="4199" max="4208" width="17.6640625" style="42" customWidth="1"/>
    <col min="4209" max="4209" width="18.5546875" style="42" customWidth="1"/>
    <col min="4210" max="4210" width="19.109375" style="42" customWidth="1"/>
    <col min="4211" max="4215" width="17.6640625" style="42" customWidth="1"/>
    <col min="4216" max="4216" width="18.5546875" style="42" customWidth="1"/>
    <col min="4217" max="4221" width="17.6640625" style="42" customWidth="1"/>
    <col min="4222" max="4222" width="18.5546875" style="42" customWidth="1"/>
    <col min="4223" max="4233" width="17.6640625" style="42" customWidth="1"/>
    <col min="4234" max="4234" width="18.5546875" style="42" customWidth="1"/>
    <col min="4235" max="4240" width="17.6640625" style="42" customWidth="1"/>
    <col min="4241" max="4241" width="18.5546875" style="42" customWidth="1"/>
    <col min="4242" max="4352" width="8.88671875" style="42"/>
    <col min="4353" max="4353" width="44.44140625" style="42" customWidth="1"/>
    <col min="4354" max="4378" width="0" style="42" hidden="1" customWidth="1"/>
    <col min="4379" max="4379" width="19.33203125" style="42" bestFit="1" customWidth="1"/>
    <col min="4380" max="4380" width="20" style="42" bestFit="1" customWidth="1"/>
    <col min="4381" max="4381" width="2.33203125" style="42" customWidth="1"/>
    <col min="4382" max="4382" width="20.5546875" style="42" customWidth="1"/>
    <col min="4383" max="4383" width="19.109375" style="42" customWidth="1"/>
    <col min="4384" max="4385" width="17.44140625" style="42" customWidth="1"/>
    <col min="4386" max="4386" width="1.6640625" style="42" customWidth="1"/>
    <col min="4387" max="4387" width="15.44140625" style="42" customWidth="1"/>
    <col min="4388" max="4389" width="12.5546875" style="42" customWidth="1"/>
    <col min="4390" max="4392" width="17.6640625" style="42" customWidth="1"/>
    <col min="4393" max="4394" width="18.88671875" style="42" customWidth="1"/>
    <col min="4395" max="4400" width="17.6640625" style="42" customWidth="1"/>
    <col min="4401" max="4401" width="17.88671875" style="42" customWidth="1"/>
    <col min="4402" max="4405" width="17.6640625" style="42" customWidth="1"/>
    <col min="4406" max="4406" width="18.88671875" style="42" customWidth="1"/>
    <col min="4407" max="4416" width="17.6640625" style="42" customWidth="1"/>
    <col min="4417" max="4417" width="19.109375" style="42" customWidth="1"/>
    <col min="4418" max="4418" width="18.88671875" style="42" customWidth="1"/>
    <col min="4419" max="4429" width="17.6640625" style="42" customWidth="1"/>
    <col min="4430" max="4430" width="19.109375" style="42" customWidth="1"/>
    <col min="4431" max="4439" width="17.6640625" style="42" customWidth="1"/>
    <col min="4440" max="4440" width="18.5546875" style="42" customWidth="1"/>
    <col min="4441" max="4442" width="18.88671875" style="42" customWidth="1"/>
    <col min="4443" max="4443" width="19.109375" style="42" customWidth="1"/>
    <col min="4444" max="4452" width="17.6640625" style="42" customWidth="1"/>
    <col min="4453" max="4453" width="18.5546875" style="42" customWidth="1"/>
    <col min="4454" max="4454" width="18.88671875" style="42" customWidth="1"/>
    <col min="4455" max="4464" width="17.6640625" style="42" customWidth="1"/>
    <col min="4465" max="4465" width="18.5546875" style="42" customWidth="1"/>
    <col min="4466" max="4466" width="19.109375" style="42" customWidth="1"/>
    <col min="4467" max="4471" width="17.6640625" style="42" customWidth="1"/>
    <col min="4472" max="4472" width="18.5546875" style="42" customWidth="1"/>
    <col min="4473" max="4477" width="17.6640625" style="42" customWidth="1"/>
    <col min="4478" max="4478" width="18.5546875" style="42" customWidth="1"/>
    <col min="4479" max="4489" width="17.6640625" style="42" customWidth="1"/>
    <col min="4490" max="4490" width="18.5546875" style="42" customWidth="1"/>
    <col min="4491" max="4496" width="17.6640625" style="42" customWidth="1"/>
    <col min="4497" max="4497" width="18.5546875" style="42" customWidth="1"/>
    <col min="4498" max="4608" width="8.88671875" style="42"/>
    <col min="4609" max="4609" width="44.44140625" style="42" customWidth="1"/>
    <col min="4610" max="4634" width="0" style="42" hidden="1" customWidth="1"/>
    <col min="4635" max="4635" width="19.33203125" style="42" bestFit="1" customWidth="1"/>
    <col min="4636" max="4636" width="20" style="42" bestFit="1" customWidth="1"/>
    <col min="4637" max="4637" width="2.33203125" style="42" customWidth="1"/>
    <col min="4638" max="4638" width="20.5546875" style="42" customWidth="1"/>
    <col min="4639" max="4639" width="19.109375" style="42" customWidth="1"/>
    <col min="4640" max="4641" width="17.44140625" style="42" customWidth="1"/>
    <col min="4642" max="4642" width="1.6640625" style="42" customWidth="1"/>
    <col min="4643" max="4643" width="15.44140625" style="42" customWidth="1"/>
    <col min="4644" max="4645" width="12.5546875" style="42" customWidth="1"/>
    <col min="4646" max="4648" width="17.6640625" style="42" customWidth="1"/>
    <col min="4649" max="4650" width="18.88671875" style="42" customWidth="1"/>
    <col min="4651" max="4656" width="17.6640625" style="42" customWidth="1"/>
    <col min="4657" max="4657" width="17.88671875" style="42" customWidth="1"/>
    <col min="4658" max="4661" width="17.6640625" style="42" customWidth="1"/>
    <col min="4662" max="4662" width="18.88671875" style="42" customWidth="1"/>
    <col min="4663" max="4672" width="17.6640625" style="42" customWidth="1"/>
    <col min="4673" max="4673" width="19.109375" style="42" customWidth="1"/>
    <col min="4674" max="4674" width="18.88671875" style="42" customWidth="1"/>
    <col min="4675" max="4685" width="17.6640625" style="42" customWidth="1"/>
    <col min="4686" max="4686" width="19.109375" style="42" customWidth="1"/>
    <col min="4687" max="4695" width="17.6640625" style="42" customWidth="1"/>
    <col min="4696" max="4696" width="18.5546875" style="42" customWidth="1"/>
    <col min="4697" max="4698" width="18.88671875" style="42" customWidth="1"/>
    <col min="4699" max="4699" width="19.109375" style="42" customWidth="1"/>
    <col min="4700" max="4708" width="17.6640625" style="42" customWidth="1"/>
    <col min="4709" max="4709" width="18.5546875" style="42" customWidth="1"/>
    <col min="4710" max="4710" width="18.88671875" style="42" customWidth="1"/>
    <col min="4711" max="4720" width="17.6640625" style="42" customWidth="1"/>
    <col min="4721" max="4721" width="18.5546875" style="42" customWidth="1"/>
    <col min="4722" max="4722" width="19.109375" style="42" customWidth="1"/>
    <col min="4723" max="4727" width="17.6640625" style="42" customWidth="1"/>
    <col min="4728" max="4728" width="18.5546875" style="42" customWidth="1"/>
    <col min="4729" max="4733" width="17.6640625" style="42" customWidth="1"/>
    <col min="4734" max="4734" width="18.5546875" style="42" customWidth="1"/>
    <col min="4735" max="4745" width="17.6640625" style="42" customWidth="1"/>
    <col min="4746" max="4746" width="18.5546875" style="42" customWidth="1"/>
    <col min="4747" max="4752" width="17.6640625" style="42" customWidth="1"/>
    <col min="4753" max="4753" width="18.5546875" style="42" customWidth="1"/>
    <col min="4754" max="4864" width="8.88671875" style="42"/>
    <col min="4865" max="4865" width="44.44140625" style="42" customWidth="1"/>
    <col min="4866" max="4890" width="0" style="42" hidden="1" customWidth="1"/>
    <col min="4891" max="4891" width="19.33203125" style="42" bestFit="1" customWidth="1"/>
    <col min="4892" max="4892" width="20" style="42" bestFit="1" customWidth="1"/>
    <col min="4893" max="4893" width="2.33203125" style="42" customWidth="1"/>
    <col min="4894" max="4894" width="20.5546875" style="42" customWidth="1"/>
    <col min="4895" max="4895" width="19.109375" style="42" customWidth="1"/>
    <col min="4896" max="4897" width="17.44140625" style="42" customWidth="1"/>
    <col min="4898" max="4898" width="1.6640625" style="42" customWidth="1"/>
    <col min="4899" max="4899" width="15.44140625" style="42" customWidth="1"/>
    <col min="4900" max="4901" width="12.5546875" style="42" customWidth="1"/>
    <col min="4902" max="4904" width="17.6640625" style="42" customWidth="1"/>
    <col min="4905" max="4906" width="18.88671875" style="42" customWidth="1"/>
    <col min="4907" max="4912" width="17.6640625" style="42" customWidth="1"/>
    <col min="4913" max="4913" width="17.88671875" style="42" customWidth="1"/>
    <col min="4914" max="4917" width="17.6640625" style="42" customWidth="1"/>
    <col min="4918" max="4918" width="18.88671875" style="42" customWidth="1"/>
    <col min="4919" max="4928" width="17.6640625" style="42" customWidth="1"/>
    <col min="4929" max="4929" width="19.109375" style="42" customWidth="1"/>
    <col min="4930" max="4930" width="18.88671875" style="42" customWidth="1"/>
    <col min="4931" max="4941" width="17.6640625" style="42" customWidth="1"/>
    <col min="4942" max="4942" width="19.109375" style="42" customWidth="1"/>
    <col min="4943" max="4951" width="17.6640625" style="42" customWidth="1"/>
    <col min="4952" max="4952" width="18.5546875" style="42" customWidth="1"/>
    <col min="4953" max="4954" width="18.88671875" style="42" customWidth="1"/>
    <col min="4955" max="4955" width="19.109375" style="42" customWidth="1"/>
    <col min="4956" max="4964" width="17.6640625" style="42" customWidth="1"/>
    <col min="4965" max="4965" width="18.5546875" style="42" customWidth="1"/>
    <col min="4966" max="4966" width="18.88671875" style="42" customWidth="1"/>
    <col min="4967" max="4976" width="17.6640625" style="42" customWidth="1"/>
    <col min="4977" max="4977" width="18.5546875" style="42" customWidth="1"/>
    <col min="4978" max="4978" width="19.109375" style="42" customWidth="1"/>
    <col min="4979" max="4983" width="17.6640625" style="42" customWidth="1"/>
    <col min="4984" max="4984" width="18.5546875" style="42" customWidth="1"/>
    <col min="4985" max="4989" width="17.6640625" style="42" customWidth="1"/>
    <col min="4990" max="4990" width="18.5546875" style="42" customWidth="1"/>
    <col min="4991" max="5001" width="17.6640625" style="42" customWidth="1"/>
    <col min="5002" max="5002" width="18.5546875" style="42" customWidth="1"/>
    <col min="5003" max="5008" width="17.6640625" style="42" customWidth="1"/>
    <col min="5009" max="5009" width="18.5546875" style="42" customWidth="1"/>
    <col min="5010" max="5120" width="8.88671875" style="42"/>
    <col min="5121" max="5121" width="44.44140625" style="42" customWidth="1"/>
    <col min="5122" max="5146" width="0" style="42" hidden="1" customWidth="1"/>
    <col min="5147" max="5147" width="19.33203125" style="42" bestFit="1" customWidth="1"/>
    <col min="5148" max="5148" width="20" style="42" bestFit="1" customWidth="1"/>
    <col min="5149" max="5149" width="2.33203125" style="42" customWidth="1"/>
    <col min="5150" max="5150" width="20.5546875" style="42" customWidth="1"/>
    <col min="5151" max="5151" width="19.109375" style="42" customWidth="1"/>
    <col min="5152" max="5153" width="17.44140625" style="42" customWidth="1"/>
    <col min="5154" max="5154" width="1.6640625" style="42" customWidth="1"/>
    <col min="5155" max="5155" width="15.44140625" style="42" customWidth="1"/>
    <col min="5156" max="5157" width="12.5546875" style="42" customWidth="1"/>
    <col min="5158" max="5160" width="17.6640625" style="42" customWidth="1"/>
    <col min="5161" max="5162" width="18.88671875" style="42" customWidth="1"/>
    <col min="5163" max="5168" width="17.6640625" style="42" customWidth="1"/>
    <col min="5169" max="5169" width="17.88671875" style="42" customWidth="1"/>
    <col min="5170" max="5173" width="17.6640625" style="42" customWidth="1"/>
    <col min="5174" max="5174" width="18.88671875" style="42" customWidth="1"/>
    <col min="5175" max="5184" width="17.6640625" style="42" customWidth="1"/>
    <col min="5185" max="5185" width="19.109375" style="42" customWidth="1"/>
    <col min="5186" max="5186" width="18.88671875" style="42" customWidth="1"/>
    <col min="5187" max="5197" width="17.6640625" style="42" customWidth="1"/>
    <col min="5198" max="5198" width="19.109375" style="42" customWidth="1"/>
    <col min="5199" max="5207" width="17.6640625" style="42" customWidth="1"/>
    <col min="5208" max="5208" width="18.5546875" style="42" customWidth="1"/>
    <col min="5209" max="5210" width="18.88671875" style="42" customWidth="1"/>
    <col min="5211" max="5211" width="19.109375" style="42" customWidth="1"/>
    <col min="5212" max="5220" width="17.6640625" style="42" customWidth="1"/>
    <col min="5221" max="5221" width="18.5546875" style="42" customWidth="1"/>
    <col min="5222" max="5222" width="18.88671875" style="42" customWidth="1"/>
    <col min="5223" max="5232" width="17.6640625" style="42" customWidth="1"/>
    <col min="5233" max="5233" width="18.5546875" style="42" customWidth="1"/>
    <col min="5234" max="5234" width="19.109375" style="42" customWidth="1"/>
    <col min="5235" max="5239" width="17.6640625" style="42" customWidth="1"/>
    <col min="5240" max="5240" width="18.5546875" style="42" customWidth="1"/>
    <col min="5241" max="5245" width="17.6640625" style="42" customWidth="1"/>
    <col min="5246" max="5246" width="18.5546875" style="42" customWidth="1"/>
    <col min="5247" max="5257" width="17.6640625" style="42" customWidth="1"/>
    <col min="5258" max="5258" width="18.5546875" style="42" customWidth="1"/>
    <col min="5259" max="5264" width="17.6640625" style="42" customWidth="1"/>
    <col min="5265" max="5265" width="18.5546875" style="42" customWidth="1"/>
    <col min="5266" max="5376" width="8.88671875" style="42"/>
    <col min="5377" max="5377" width="44.44140625" style="42" customWidth="1"/>
    <col min="5378" max="5402" width="0" style="42" hidden="1" customWidth="1"/>
    <col min="5403" max="5403" width="19.33203125" style="42" bestFit="1" customWidth="1"/>
    <col min="5404" max="5404" width="20" style="42" bestFit="1" customWidth="1"/>
    <col min="5405" max="5405" width="2.33203125" style="42" customWidth="1"/>
    <col min="5406" max="5406" width="20.5546875" style="42" customWidth="1"/>
    <col min="5407" max="5407" width="19.109375" style="42" customWidth="1"/>
    <col min="5408" max="5409" width="17.44140625" style="42" customWidth="1"/>
    <col min="5410" max="5410" width="1.6640625" style="42" customWidth="1"/>
    <col min="5411" max="5411" width="15.44140625" style="42" customWidth="1"/>
    <col min="5412" max="5413" width="12.5546875" style="42" customWidth="1"/>
    <col min="5414" max="5416" width="17.6640625" style="42" customWidth="1"/>
    <col min="5417" max="5418" width="18.88671875" style="42" customWidth="1"/>
    <col min="5419" max="5424" width="17.6640625" style="42" customWidth="1"/>
    <col min="5425" max="5425" width="17.88671875" style="42" customWidth="1"/>
    <col min="5426" max="5429" width="17.6640625" style="42" customWidth="1"/>
    <col min="5430" max="5430" width="18.88671875" style="42" customWidth="1"/>
    <col min="5431" max="5440" width="17.6640625" style="42" customWidth="1"/>
    <col min="5441" max="5441" width="19.109375" style="42" customWidth="1"/>
    <col min="5442" max="5442" width="18.88671875" style="42" customWidth="1"/>
    <col min="5443" max="5453" width="17.6640625" style="42" customWidth="1"/>
    <col min="5454" max="5454" width="19.109375" style="42" customWidth="1"/>
    <col min="5455" max="5463" width="17.6640625" style="42" customWidth="1"/>
    <col min="5464" max="5464" width="18.5546875" style="42" customWidth="1"/>
    <col min="5465" max="5466" width="18.88671875" style="42" customWidth="1"/>
    <col min="5467" max="5467" width="19.109375" style="42" customWidth="1"/>
    <col min="5468" max="5476" width="17.6640625" style="42" customWidth="1"/>
    <col min="5477" max="5477" width="18.5546875" style="42" customWidth="1"/>
    <col min="5478" max="5478" width="18.88671875" style="42" customWidth="1"/>
    <col min="5479" max="5488" width="17.6640625" style="42" customWidth="1"/>
    <col min="5489" max="5489" width="18.5546875" style="42" customWidth="1"/>
    <col min="5490" max="5490" width="19.109375" style="42" customWidth="1"/>
    <col min="5491" max="5495" width="17.6640625" style="42" customWidth="1"/>
    <col min="5496" max="5496" width="18.5546875" style="42" customWidth="1"/>
    <col min="5497" max="5501" width="17.6640625" style="42" customWidth="1"/>
    <col min="5502" max="5502" width="18.5546875" style="42" customWidth="1"/>
    <col min="5503" max="5513" width="17.6640625" style="42" customWidth="1"/>
    <col min="5514" max="5514" width="18.5546875" style="42" customWidth="1"/>
    <col min="5515" max="5520" width="17.6640625" style="42" customWidth="1"/>
    <col min="5521" max="5521" width="18.5546875" style="42" customWidth="1"/>
    <col min="5522" max="5632" width="8.88671875" style="42"/>
    <col min="5633" max="5633" width="44.44140625" style="42" customWidth="1"/>
    <col min="5634" max="5658" width="0" style="42" hidden="1" customWidth="1"/>
    <col min="5659" max="5659" width="19.33203125" style="42" bestFit="1" customWidth="1"/>
    <col min="5660" max="5660" width="20" style="42" bestFit="1" customWidth="1"/>
    <col min="5661" max="5661" width="2.33203125" style="42" customWidth="1"/>
    <col min="5662" max="5662" width="20.5546875" style="42" customWidth="1"/>
    <col min="5663" max="5663" width="19.109375" style="42" customWidth="1"/>
    <col min="5664" max="5665" width="17.44140625" style="42" customWidth="1"/>
    <col min="5666" max="5666" width="1.6640625" style="42" customWidth="1"/>
    <col min="5667" max="5667" width="15.44140625" style="42" customWidth="1"/>
    <col min="5668" max="5669" width="12.5546875" style="42" customWidth="1"/>
    <col min="5670" max="5672" width="17.6640625" style="42" customWidth="1"/>
    <col min="5673" max="5674" width="18.88671875" style="42" customWidth="1"/>
    <col min="5675" max="5680" width="17.6640625" style="42" customWidth="1"/>
    <col min="5681" max="5681" width="17.88671875" style="42" customWidth="1"/>
    <col min="5682" max="5685" width="17.6640625" style="42" customWidth="1"/>
    <col min="5686" max="5686" width="18.88671875" style="42" customWidth="1"/>
    <col min="5687" max="5696" width="17.6640625" style="42" customWidth="1"/>
    <col min="5697" max="5697" width="19.109375" style="42" customWidth="1"/>
    <col min="5698" max="5698" width="18.88671875" style="42" customWidth="1"/>
    <col min="5699" max="5709" width="17.6640625" style="42" customWidth="1"/>
    <col min="5710" max="5710" width="19.109375" style="42" customWidth="1"/>
    <col min="5711" max="5719" width="17.6640625" style="42" customWidth="1"/>
    <col min="5720" max="5720" width="18.5546875" style="42" customWidth="1"/>
    <col min="5721" max="5722" width="18.88671875" style="42" customWidth="1"/>
    <col min="5723" max="5723" width="19.109375" style="42" customWidth="1"/>
    <col min="5724" max="5732" width="17.6640625" style="42" customWidth="1"/>
    <col min="5733" max="5733" width="18.5546875" style="42" customWidth="1"/>
    <col min="5734" max="5734" width="18.88671875" style="42" customWidth="1"/>
    <col min="5735" max="5744" width="17.6640625" style="42" customWidth="1"/>
    <col min="5745" max="5745" width="18.5546875" style="42" customWidth="1"/>
    <col min="5746" max="5746" width="19.109375" style="42" customWidth="1"/>
    <col min="5747" max="5751" width="17.6640625" style="42" customWidth="1"/>
    <col min="5752" max="5752" width="18.5546875" style="42" customWidth="1"/>
    <col min="5753" max="5757" width="17.6640625" style="42" customWidth="1"/>
    <col min="5758" max="5758" width="18.5546875" style="42" customWidth="1"/>
    <col min="5759" max="5769" width="17.6640625" style="42" customWidth="1"/>
    <col min="5770" max="5770" width="18.5546875" style="42" customWidth="1"/>
    <col min="5771" max="5776" width="17.6640625" style="42" customWidth="1"/>
    <col min="5777" max="5777" width="18.5546875" style="42" customWidth="1"/>
    <col min="5778" max="5888" width="8.88671875" style="42"/>
    <col min="5889" max="5889" width="44.44140625" style="42" customWidth="1"/>
    <col min="5890" max="5914" width="0" style="42" hidden="1" customWidth="1"/>
    <col min="5915" max="5915" width="19.33203125" style="42" bestFit="1" customWidth="1"/>
    <col min="5916" max="5916" width="20" style="42" bestFit="1" customWidth="1"/>
    <col min="5917" max="5917" width="2.33203125" style="42" customWidth="1"/>
    <col min="5918" max="5918" width="20.5546875" style="42" customWidth="1"/>
    <col min="5919" max="5919" width="19.109375" style="42" customWidth="1"/>
    <col min="5920" max="5921" width="17.44140625" style="42" customWidth="1"/>
    <col min="5922" max="5922" width="1.6640625" style="42" customWidth="1"/>
    <col min="5923" max="5923" width="15.44140625" style="42" customWidth="1"/>
    <col min="5924" max="5925" width="12.5546875" style="42" customWidth="1"/>
    <col min="5926" max="5928" width="17.6640625" style="42" customWidth="1"/>
    <col min="5929" max="5930" width="18.88671875" style="42" customWidth="1"/>
    <col min="5931" max="5936" width="17.6640625" style="42" customWidth="1"/>
    <col min="5937" max="5937" width="17.88671875" style="42" customWidth="1"/>
    <col min="5938" max="5941" width="17.6640625" style="42" customWidth="1"/>
    <col min="5942" max="5942" width="18.88671875" style="42" customWidth="1"/>
    <col min="5943" max="5952" width="17.6640625" style="42" customWidth="1"/>
    <col min="5953" max="5953" width="19.109375" style="42" customWidth="1"/>
    <col min="5954" max="5954" width="18.88671875" style="42" customWidth="1"/>
    <col min="5955" max="5965" width="17.6640625" style="42" customWidth="1"/>
    <col min="5966" max="5966" width="19.109375" style="42" customWidth="1"/>
    <col min="5967" max="5975" width="17.6640625" style="42" customWidth="1"/>
    <col min="5976" max="5976" width="18.5546875" style="42" customWidth="1"/>
    <col min="5977" max="5978" width="18.88671875" style="42" customWidth="1"/>
    <col min="5979" max="5979" width="19.109375" style="42" customWidth="1"/>
    <col min="5980" max="5988" width="17.6640625" style="42" customWidth="1"/>
    <col min="5989" max="5989" width="18.5546875" style="42" customWidth="1"/>
    <col min="5990" max="5990" width="18.88671875" style="42" customWidth="1"/>
    <col min="5991" max="6000" width="17.6640625" style="42" customWidth="1"/>
    <col min="6001" max="6001" width="18.5546875" style="42" customWidth="1"/>
    <col min="6002" max="6002" width="19.109375" style="42" customWidth="1"/>
    <col min="6003" max="6007" width="17.6640625" style="42" customWidth="1"/>
    <col min="6008" max="6008" width="18.5546875" style="42" customWidth="1"/>
    <col min="6009" max="6013" width="17.6640625" style="42" customWidth="1"/>
    <col min="6014" max="6014" width="18.5546875" style="42" customWidth="1"/>
    <col min="6015" max="6025" width="17.6640625" style="42" customWidth="1"/>
    <col min="6026" max="6026" width="18.5546875" style="42" customWidth="1"/>
    <col min="6027" max="6032" width="17.6640625" style="42" customWidth="1"/>
    <col min="6033" max="6033" width="18.5546875" style="42" customWidth="1"/>
    <col min="6034" max="6144" width="8.88671875" style="42"/>
    <col min="6145" max="6145" width="44.44140625" style="42" customWidth="1"/>
    <col min="6146" max="6170" width="0" style="42" hidden="1" customWidth="1"/>
    <col min="6171" max="6171" width="19.33203125" style="42" bestFit="1" customWidth="1"/>
    <col min="6172" max="6172" width="20" style="42" bestFit="1" customWidth="1"/>
    <col min="6173" max="6173" width="2.33203125" style="42" customWidth="1"/>
    <col min="6174" max="6174" width="20.5546875" style="42" customWidth="1"/>
    <col min="6175" max="6175" width="19.109375" style="42" customWidth="1"/>
    <col min="6176" max="6177" width="17.44140625" style="42" customWidth="1"/>
    <col min="6178" max="6178" width="1.6640625" style="42" customWidth="1"/>
    <col min="6179" max="6179" width="15.44140625" style="42" customWidth="1"/>
    <col min="6180" max="6181" width="12.5546875" style="42" customWidth="1"/>
    <col min="6182" max="6184" width="17.6640625" style="42" customWidth="1"/>
    <col min="6185" max="6186" width="18.88671875" style="42" customWidth="1"/>
    <col min="6187" max="6192" width="17.6640625" style="42" customWidth="1"/>
    <col min="6193" max="6193" width="17.88671875" style="42" customWidth="1"/>
    <col min="6194" max="6197" width="17.6640625" style="42" customWidth="1"/>
    <col min="6198" max="6198" width="18.88671875" style="42" customWidth="1"/>
    <col min="6199" max="6208" width="17.6640625" style="42" customWidth="1"/>
    <col min="6209" max="6209" width="19.109375" style="42" customWidth="1"/>
    <col min="6210" max="6210" width="18.88671875" style="42" customWidth="1"/>
    <col min="6211" max="6221" width="17.6640625" style="42" customWidth="1"/>
    <col min="6222" max="6222" width="19.109375" style="42" customWidth="1"/>
    <col min="6223" max="6231" width="17.6640625" style="42" customWidth="1"/>
    <col min="6232" max="6232" width="18.5546875" style="42" customWidth="1"/>
    <col min="6233" max="6234" width="18.88671875" style="42" customWidth="1"/>
    <col min="6235" max="6235" width="19.109375" style="42" customWidth="1"/>
    <col min="6236" max="6244" width="17.6640625" style="42" customWidth="1"/>
    <col min="6245" max="6245" width="18.5546875" style="42" customWidth="1"/>
    <col min="6246" max="6246" width="18.88671875" style="42" customWidth="1"/>
    <col min="6247" max="6256" width="17.6640625" style="42" customWidth="1"/>
    <col min="6257" max="6257" width="18.5546875" style="42" customWidth="1"/>
    <col min="6258" max="6258" width="19.109375" style="42" customWidth="1"/>
    <col min="6259" max="6263" width="17.6640625" style="42" customWidth="1"/>
    <col min="6264" max="6264" width="18.5546875" style="42" customWidth="1"/>
    <col min="6265" max="6269" width="17.6640625" style="42" customWidth="1"/>
    <col min="6270" max="6270" width="18.5546875" style="42" customWidth="1"/>
    <col min="6271" max="6281" width="17.6640625" style="42" customWidth="1"/>
    <col min="6282" max="6282" width="18.5546875" style="42" customWidth="1"/>
    <col min="6283" max="6288" width="17.6640625" style="42" customWidth="1"/>
    <col min="6289" max="6289" width="18.5546875" style="42" customWidth="1"/>
    <col min="6290" max="6400" width="8.88671875" style="42"/>
    <col min="6401" max="6401" width="44.44140625" style="42" customWidth="1"/>
    <col min="6402" max="6426" width="0" style="42" hidden="1" customWidth="1"/>
    <col min="6427" max="6427" width="19.33203125" style="42" bestFit="1" customWidth="1"/>
    <col min="6428" max="6428" width="20" style="42" bestFit="1" customWidth="1"/>
    <col min="6429" max="6429" width="2.33203125" style="42" customWidth="1"/>
    <col min="6430" max="6430" width="20.5546875" style="42" customWidth="1"/>
    <col min="6431" max="6431" width="19.109375" style="42" customWidth="1"/>
    <col min="6432" max="6433" width="17.44140625" style="42" customWidth="1"/>
    <col min="6434" max="6434" width="1.6640625" style="42" customWidth="1"/>
    <col min="6435" max="6435" width="15.44140625" style="42" customWidth="1"/>
    <col min="6436" max="6437" width="12.5546875" style="42" customWidth="1"/>
    <col min="6438" max="6440" width="17.6640625" style="42" customWidth="1"/>
    <col min="6441" max="6442" width="18.88671875" style="42" customWidth="1"/>
    <col min="6443" max="6448" width="17.6640625" style="42" customWidth="1"/>
    <col min="6449" max="6449" width="17.88671875" style="42" customWidth="1"/>
    <col min="6450" max="6453" width="17.6640625" style="42" customWidth="1"/>
    <col min="6454" max="6454" width="18.88671875" style="42" customWidth="1"/>
    <col min="6455" max="6464" width="17.6640625" style="42" customWidth="1"/>
    <col min="6465" max="6465" width="19.109375" style="42" customWidth="1"/>
    <col min="6466" max="6466" width="18.88671875" style="42" customWidth="1"/>
    <col min="6467" max="6477" width="17.6640625" style="42" customWidth="1"/>
    <col min="6478" max="6478" width="19.109375" style="42" customWidth="1"/>
    <col min="6479" max="6487" width="17.6640625" style="42" customWidth="1"/>
    <col min="6488" max="6488" width="18.5546875" style="42" customWidth="1"/>
    <col min="6489" max="6490" width="18.88671875" style="42" customWidth="1"/>
    <col min="6491" max="6491" width="19.109375" style="42" customWidth="1"/>
    <col min="6492" max="6500" width="17.6640625" style="42" customWidth="1"/>
    <col min="6501" max="6501" width="18.5546875" style="42" customWidth="1"/>
    <col min="6502" max="6502" width="18.88671875" style="42" customWidth="1"/>
    <col min="6503" max="6512" width="17.6640625" style="42" customWidth="1"/>
    <col min="6513" max="6513" width="18.5546875" style="42" customWidth="1"/>
    <col min="6514" max="6514" width="19.109375" style="42" customWidth="1"/>
    <col min="6515" max="6519" width="17.6640625" style="42" customWidth="1"/>
    <col min="6520" max="6520" width="18.5546875" style="42" customWidth="1"/>
    <col min="6521" max="6525" width="17.6640625" style="42" customWidth="1"/>
    <col min="6526" max="6526" width="18.5546875" style="42" customWidth="1"/>
    <col min="6527" max="6537" width="17.6640625" style="42" customWidth="1"/>
    <col min="6538" max="6538" width="18.5546875" style="42" customWidth="1"/>
    <col min="6539" max="6544" width="17.6640625" style="42" customWidth="1"/>
    <col min="6545" max="6545" width="18.5546875" style="42" customWidth="1"/>
    <col min="6546" max="6656" width="8.88671875" style="42"/>
    <col min="6657" max="6657" width="44.44140625" style="42" customWidth="1"/>
    <col min="6658" max="6682" width="0" style="42" hidden="1" customWidth="1"/>
    <col min="6683" max="6683" width="19.33203125" style="42" bestFit="1" customWidth="1"/>
    <col min="6684" max="6684" width="20" style="42" bestFit="1" customWidth="1"/>
    <col min="6685" max="6685" width="2.33203125" style="42" customWidth="1"/>
    <col min="6686" max="6686" width="20.5546875" style="42" customWidth="1"/>
    <col min="6687" max="6687" width="19.109375" style="42" customWidth="1"/>
    <col min="6688" max="6689" width="17.44140625" style="42" customWidth="1"/>
    <col min="6690" max="6690" width="1.6640625" style="42" customWidth="1"/>
    <col min="6691" max="6691" width="15.44140625" style="42" customWidth="1"/>
    <col min="6692" max="6693" width="12.5546875" style="42" customWidth="1"/>
    <col min="6694" max="6696" width="17.6640625" style="42" customWidth="1"/>
    <col min="6697" max="6698" width="18.88671875" style="42" customWidth="1"/>
    <col min="6699" max="6704" width="17.6640625" style="42" customWidth="1"/>
    <col min="6705" max="6705" width="17.88671875" style="42" customWidth="1"/>
    <col min="6706" max="6709" width="17.6640625" style="42" customWidth="1"/>
    <col min="6710" max="6710" width="18.88671875" style="42" customWidth="1"/>
    <col min="6711" max="6720" width="17.6640625" style="42" customWidth="1"/>
    <col min="6721" max="6721" width="19.109375" style="42" customWidth="1"/>
    <col min="6722" max="6722" width="18.88671875" style="42" customWidth="1"/>
    <col min="6723" max="6733" width="17.6640625" style="42" customWidth="1"/>
    <col min="6734" max="6734" width="19.109375" style="42" customWidth="1"/>
    <col min="6735" max="6743" width="17.6640625" style="42" customWidth="1"/>
    <col min="6744" max="6744" width="18.5546875" style="42" customWidth="1"/>
    <col min="6745" max="6746" width="18.88671875" style="42" customWidth="1"/>
    <col min="6747" max="6747" width="19.109375" style="42" customWidth="1"/>
    <col min="6748" max="6756" width="17.6640625" style="42" customWidth="1"/>
    <col min="6757" max="6757" width="18.5546875" style="42" customWidth="1"/>
    <col min="6758" max="6758" width="18.88671875" style="42" customWidth="1"/>
    <col min="6759" max="6768" width="17.6640625" style="42" customWidth="1"/>
    <col min="6769" max="6769" width="18.5546875" style="42" customWidth="1"/>
    <col min="6770" max="6770" width="19.109375" style="42" customWidth="1"/>
    <col min="6771" max="6775" width="17.6640625" style="42" customWidth="1"/>
    <col min="6776" max="6776" width="18.5546875" style="42" customWidth="1"/>
    <col min="6777" max="6781" width="17.6640625" style="42" customWidth="1"/>
    <col min="6782" max="6782" width="18.5546875" style="42" customWidth="1"/>
    <col min="6783" max="6793" width="17.6640625" style="42" customWidth="1"/>
    <col min="6794" max="6794" width="18.5546875" style="42" customWidth="1"/>
    <col min="6795" max="6800" width="17.6640625" style="42" customWidth="1"/>
    <col min="6801" max="6801" width="18.5546875" style="42" customWidth="1"/>
    <col min="6802" max="6912" width="8.88671875" style="42"/>
    <col min="6913" max="6913" width="44.44140625" style="42" customWidth="1"/>
    <col min="6914" max="6938" width="0" style="42" hidden="1" customWidth="1"/>
    <col min="6939" max="6939" width="19.33203125" style="42" bestFit="1" customWidth="1"/>
    <col min="6940" max="6940" width="20" style="42" bestFit="1" customWidth="1"/>
    <col min="6941" max="6941" width="2.33203125" style="42" customWidth="1"/>
    <col min="6942" max="6942" width="20.5546875" style="42" customWidth="1"/>
    <col min="6943" max="6943" width="19.109375" style="42" customWidth="1"/>
    <col min="6944" max="6945" width="17.44140625" style="42" customWidth="1"/>
    <col min="6946" max="6946" width="1.6640625" style="42" customWidth="1"/>
    <col min="6947" max="6947" width="15.44140625" style="42" customWidth="1"/>
    <col min="6948" max="6949" width="12.5546875" style="42" customWidth="1"/>
    <col min="6950" max="6952" width="17.6640625" style="42" customWidth="1"/>
    <col min="6953" max="6954" width="18.88671875" style="42" customWidth="1"/>
    <col min="6955" max="6960" width="17.6640625" style="42" customWidth="1"/>
    <col min="6961" max="6961" width="17.88671875" style="42" customWidth="1"/>
    <col min="6962" max="6965" width="17.6640625" style="42" customWidth="1"/>
    <col min="6966" max="6966" width="18.88671875" style="42" customWidth="1"/>
    <col min="6967" max="6976" width="17.6640625" style="42" customWidth="1"/>
    <col min="6977" max="6977" width="19.109375" style="42" customWidth="1"/>
    <col min="6978" max="6978" width="18.88671875" style="42" customWidth="1"/>
    <col min="6979" max="6989" width="17.6640625" style="42" customWidth="1"/>
    <col min="6990" max="6990" width="19.109375" style="42" customWidth="1"/>
    <col min="6991" max="6999" width="17.6640625" style="42" customWidth="1"/>
    <col min="7000" max="7000" width="18.5546875" style="42" customWidth="1"/>
    <col min="7001" max="7002" width="18.88671875" style="42" customWidth="1"/>
    <col min="7003" max="7003" width="19.109375" style="42" customWidth="1"/>
    <col min="7004" max="7012" width="17.6640625" style="42" customWidth="1"/>
    <col min="7013" max="7013" width="18.5546875" style="42" customWidth="1"/>
    <col min="7014" max="7014" width="18.88671875" style="42" customWidth="1"/>
    <col min="7015" max="7024" width="17.6640625" style="42" customWidth="1"/>
    <col min="7025" max="7025" width="18.5546875" style="42" customWidth="1"/>
    <col min="7026" max="7026" width="19.109375" style="42" customWidth="1"/>
    <col min="7027" max="7031" width="17.6640625" style="42" customWidth="1"/>
    <col min="7032" max="7032" width="18.5546875" style="42" customWidth="1"/>
    <col min="7033" max="7037" width="17.6640625" style="42" customWidth="1"/>
    <col min="7038" max="7038" width="18.5546875" style="42" customWidth="1"/>
    <col min="7039" max="7049" width="17.6640625" style="42" customWidth="1"/>
    <col min="7050" max="7050" width="18.5546875" style="42" customWidth="1"/>
    <col min="7051" max="7056" width="17.6640625" style="42" customWidth="1"/>
    <col min="7057" max="7057" width="18.5546875" style="42" customWidth="1"/>
    <col min="7058" max="7168" width="8.88671875" style="42"/>
    <col min="7169" max="7169" width="44.44140625" style="42" customWidth="1"/>
    <col min="7170" max="7194" width="0" style="42" hidden="1" customWidth="1"/>
    <col min="7195" max="7195" width="19.33203125" style="42" bestFit="1" customWidth="1"/>
    <col min="7196" max="7196" width="20" style="42" bestFit="1" customWidth="1"/>
    <col min="7197" max="7197" width="2.33203125" style="42" customWidth="1"/>
    <col min="7198" max="7198" width="20.5546875" style="42" customWidth="1"/>
    <col min="7199" max="7199" width="19.109375" style="42" customWidth="1"/>
    <col min="7200" max="7201" width="17.44140625" style="42" customWidth="1"/>
    <col min="7202" max="7202" width="1.6640625" style="42" customWidth="1"/>
    <col min="7203" max="7203" width="15.44140625" style="42" customWidth="1"/>
    <col min="7204" max="7205" width="12.5546875" style="42" customWidth="1"/>
    <col min="7206" max="7208" width="17.6640625" style="42" customWidth="1"/>
    <col min="7209" max="7210" width="18.88671875" style="42" customWidth="1"/>
    <col min="7211" max="7216" width="17.6640625" style="42" customWidth="1"/>
    <col min="7217" max="7217" width="17.88671875" style="42" customWidth="1"/>
    <col min="7218" max="7221" width="17.6640625" style="42" customWidth="1"/>
    <col min="7222" max="7222" width="18.88671875" style="42" customWidth="1"/>
    <col min="7223" max="7232" width="17.6640625" style="42" customWidth="1"/>
    <col min="7233" max="7233" width="19.109375" style="42" customWidth="1"/>
    <col min="7234" max="7234" width="18.88671875" style="42" customWidth="1"/>
    <col min="7235" max="7245" width="17.6640625" style="42" customWidth="1"/>
    <col min="7246" max="7246" width="19.109375" style="42" customWidth="1"/>
    <col min="7247" max="7255" width="17.6640625" style="42" customWidth="1"/>
    <col min="7256" max="7256" width="18.5546875" style="42" customWidth="1"/>
    <col min="7257" max="7258" width="18.88671875" style="42" customWidth="1"/>
    <col min="7259" max="7259" width="19.109375" style="42" customWidth="1"/>
    <col min="7260" max="7268" width="17.6640625" style="42" customWidth="1"/>
    <col min="7269" max="7269" width="18.5546875" style="42" customWidth="1"/>
    <col min="7270" max="7270" width="18.88671875" style="42" customWidth="1"/>
    <col min="7271" max="7280" width="17.6640625" style="42" customWidth="1"/>
    <col min="7281" max="7281" width="18.5546875" style="42" customWidth="1"/>
    <col min="7282" max="7282" width="19.109375" style="42" customWidth="1"/>
    <col min="7283" max="7287" width="17.6640625" style="42" customWidth="1"/>
    <col min="7288" max="7288" width="18.5546875" style="42" customWidth="1"/>
    <col min="7289" max="7293" width="17.6640625" style="42" customWidth="1"/>
    <col min="7294" max="7294" width="18.5546875" style="42" customWidth="1"/>
    <col min="7295" max="7305" width="17.6640625" style="42" customWidth="1"/>
    <col min="7306" max="7306" width="18.5546875" style="42" customWidth="1"/>
    <col min="7307" max="7312" width="17.6640625" style="42" customWidth="1"/>
    <col min="7313" max="7313" width="18.5546875" style="42" customWidth="1"/>
    <col min="7314" max="7424" width="8.88671875" style="42"/>
    <col min="7425" max="7425" width="44.44140625" style="42" customWidth="1"/>
    <col min="7426" max="7450" width="0" style="42" hidden="1" customWidth="1"/>
    <col min="7451" max="7451" width="19.33203125" style="42" bestFit="1" customWidth="1"/>
    <col min="7452" max="7452" width="20" style="42" bestFit="1" customWidth="1"/>
    <col min="7453" max="7453" width="2.33203125" style="42" customWidth="1"/>
    <col min="7454" max="7454" width="20.5546875" style="42" customWidth="1"/>
    <col min="7455" max="7455" width="19.109375" style="42" customWidth="1"/>
    <col min="7456" max="7457" width="17.44140625" style="42" customWidth="1"/>
    <col min="7458" max="7458" width="1.6640625" style="42" customWidth="1"/>
    <col min="7459" max="7459" width="15.44140625" style="42" customWidth="1"/>
    <col min="7460" max="7461" width="12.5546875" style="42" customWidth="1"/>
    <col min="7462" max="7464" width="17.6640625" style="42" customWidth="1"/>
    <col min="7465" max="7466" width="18.88671875" style="42" customWidth="1"/>
    <col min="7467" max="7472" width="17.6640625" style="42" customWidth="1"/>
    <col min="7473" max="7473" width="17.88671875" style="42" customWidth="1"/>
    <col min="7474" max="7477" width="17.6640625" style="42" customWidth="1"/>
    <col min="7478" max="7478" width="18.88671875" style="42" customWidth="1"/>
    <col min="7479" max="7488" width="17.6640625" style="42" customWidth="1"/>
    <col min="7489" max="7489" width="19.109375" style="42" customWidth="1"/>
    <col min="7490" max="7490" width="18.88671875" style="42" customWidth="1"/>
    <col min="7491" max="7501" width="17.6640625" style="42" customWidth="1"/>
    <col min="7502" max="7502" width="19.109375" style="42" customWidth="1"/>
    <col min="7503" max="7511" width="17.6640625" style="42" customWidth="1"/>
    <col min="7512" max="7512" width="18.5546875" style="42" customWidth="1"/>
    <col min="7513" max="7514" width="18.88671875" style="42" customWidth="1"/>
    <col min="7515" max="7515" width="19.109375" style="42" customWidth="1"/>
    <col min="7516" max="7524" width="17.6640625" style="42" customWidth="1"/>
    <col min="7525" max="7525" width="18.5546875" style="42" customWidth="1"/>
    <col min="7526" max="7526" width="18.88671875" style="42" customWidth="1"/>
    <col min="7527" max="7536" width="17.6640625" style="42" customWidth="1"/>
    <col min="7537" max="7537" width="18.5546875" style="42" customWidth="1"/>
    <col min="7538" max="7538" width="19.109375" style="42" customWidth="1"/>
    <col min="7539" max="7543" width="17.6640625" style="42" customWidth="1"/>
    <col min="7544" max="7544" width="18.5546875" style="42" customWidth="1"/>
    <col min="7545" max="7549" width="17.6640625" style="42" customWidth="1"/>
    <col min="7550" max="7550" width="18.5546875" style="42" customWidth="1"/>
    <col min="7551" max="7561" width="17.6640625" style="42" customWidth="1"/>
    <col min="7562" max="7562" width="18.5546875" style="42" customWidth="1"/>
    <col min="7563" max="7568" width="17.6640625" style="42" customWidth="1"/>
    <col min="7569" max="7569" width="18.5546875" style="42" customWidth="1"/>
    <col min="7570" max="7680" width="8.88671875" style="42"/>
    <col min="7681" max="7681" width="44.44140625" style="42" customWidth="1"/>
    <col min="7682" max="7706" width="0" style="42" hidden="1" customWidth="1"/>
    <col min="7707" max="7707" width="19.33203125" style="42" bestFit="1" customWidth="1"/>
    <col min="7708" max="7708" width="20" style="42" bestFit="1" customWidth="1"/>
    <col min="7709" max="7709" width="2.33203125" style="42" customWidth="1"/>
    <col min="7710" max="7710" width="20.5546875" style="42" customWidth="1"/>
    <col min="7711" max="7711" width="19.109375" style="42" customWidth="1"/>
    <col min="7712" max="7713" width="17.44140625" style="42" customWidth="1"/>
    <col min="7714" max="7714" width="1.6640625" style="42" customWidth="1"/>
    <col min="7715" max="7715" width="15.44140625" style="42" customWidth="1"/>
    <col min="7716" max="7717" width="12.5546875" style="42" customWidth="1"/>
    <col min="7718" max="7720" width="17.6640625" style="42" customWidth="1"/>
    <col min="7721" max="7722" width="18.88671875" style="42" customWidth="1"/>
    <col min="7723" max="7728" width="17.6640625" style="42" customWidth="1"/>
    <col min="7729" max="7729" width="17.88671875" style="42" customWidth="1"/>
    <col min="7730" max="7733" width="17.6640625" style="42" customWidth="1"/>
    <col min="7734" max="7734" width="18.88671875" style="42" customWidth="1"/>
    <col min="7735" max="7744" width="17.6640625" style="42" customWidth="1"/>
    <col min="7745" max="7745" width="19.109375" style="42" customWidth="1"/>
    <col min="7746" max="7746" width="18.88671875" style="42" customWidth="1"/>
    <col min="7747" max="7757" width="17.6640625" style="42" customWidth="1"/>
    <col min="7758" max="7758" width="19.109375" style="42" customWidth="1"/>
    <col min="7759" max="7767" width="17.6640625" style="42" customWidth="1"/>
    <col min="7768" max="7768" width="18.5546875" style="42" customWidth="1"/>
    <col min="7769" max="7770" width="18.88671875" style="42" customWidth="1"/>
    <col min="7771" max="7771" width="19.109375" style="42" customWidth="1"/>
    <col min="7772" max="7780" width="17.6640625" style="42" customWidth="1"/>
    <col min="7781" max="7781" width="18.5546875" style="42" customWidth="1"/>
    <col min="7782" max="7782" width="18.88671875" style="42" customWidth="1"/>
    <col min="7783" max="7792" width="17.6640625" style="42" customWidth="1"/>
    <col min="7793" max="7793" width="18.5546875" style="42" customWidth="1"/>
    <col min="7794" max="7794" width="19.109375" style="42" customWidth="1"/>
    <col min="7795" max="7799" width="17.6640625" style="42" customWidth="1"/>
    <col min="7800" max="7800" width="18.5546875" style="42" customWidth="1"/>
    <col min="7801" max="7805" width="17.6640625" style="42" customWidth="1"/>
    <col min="7806" max="7806" width="18.5546875" style="42" customWidth="1"/>
    <col min="7807" max="7817" width="17.6640625" style="42" customWidth="1"/>
    <col min="7818" max="7818" width="18.5546875" style="42" customWidth="1"/>
    <col min="7819" max="7824" width="17.6640625" style="42" customWidth="1"/>
    <col min="7825" max="7825" width="18.5546875" style="42" customWidth="1"/>
    <col min="7826" max="7936" width="8.88671875" style="42"/>
    <col min="7937" max="7937" width="44.44140625" style="42" customWidth="1"/>
    <col min="7938" max="7962" width="0" style="42" hidden="1" customWidth="1"/>
    <col min="7963" max="7963" width="19.33203125" style="42" bestFit="1" customWidth="1"/>
    <col min="7964" max="7964" width="20" style="42" bestFit="1" customWidth="1"/>
    <col min="7965" max="7965" width="2.33203125" style="42" customWidth="1"/>
    <col min="7966" max="7966" width="20.5546875" style="42" customWidth="1"/>
    <col min="7967" max="7967" width="19.109375" style="42" customWidth="1"/>
    <col min="7968" max="7969" width="17.44140625" style="42" customWidth="1"/>
    <col min="7970" max="7970" width="1.6640625" style="42" customWidth="1"/>
    <col min="7971" max="7971" width="15.44140625" style="42" customWidth="1"/>
    <col min="7972" max="7973" width="12.5546875" style="42" customWidth="1"/>
    <col min="7974" max="7976" width="17.6640625" style="42" customWidth="1"/>
    <col min="7977" max="7978" width="18.88671875" style="42" customWidth="1"/>
    <col min="7979" max="7984" width="17.6640625" style="42" customWidth="1"/>
    <col min="7985" max="7985" width="17.88671875" style="42" customWidth="1"/>
    <col min="7986" max="7989" width="17.6640625" style="42" customWidth="1"/>
    <col min="7990" max="7990" width="18.88671875" style="42" customWidth="1"/>
    <col min="7991" max="8000" width="17.6640625" style="42" customWidth="1"/>
    <col min="8001" max="8001" width="19.109375" style="42" customWidth="1"/>
    <col min="8002" max="8002" width="18.88671875" style="42" customWidth="1"/>
    <col min="8003" max="8013" width="17.6640625" style="42" customWidth="1"/>
    <col min="8014" max="8014" width="19.109375" style="42" customWidth="1"/>
    <col min="8015" max="8023" width="17.6640625" style="42" customWidth="1"/>
    <col min="8024" max="8024" width="18.5546875" style="42" customWidth="1"/>
    <col min="8025" max="8026" width="18.88671875" style="42" customWidth="1"/>
    <col min="8027" max="8027" width="19.109375" style="42" customWidth="1"/>
    <col min="8028" max="8036" width="17.6640625" style="42" customWidth="1"/>
    <col min="8037" max="8037" width="18.5546875" style="42" customWidth="1"/>
    <col min="8038" max="8038" width="18.88671875" style="42" customWidth="1"/>
    <col min="8039" max="8048" width="17.6640625" style="42" customWidth="1"/>
    <col min="8049" max="8049" width="18.5546875" style="42" customWidth="1"/>
    <col min="8050" max="8050" width="19.109375" style="42" customWidth="1"/>
    <col min="8051" max="8055" width="17.6640625" style="42" customWidth="1"/>
    <col min="8056" max="8056" width="18.5546875" style="42" customWidth="1"/>
    <col min="8057" max="8061" width="17.6640625" style="42" customWidth="1"/>
    <col min="8062" max="8062" width="18.5546875" style="42" customWidth="1"/>
    <col min="8063" max="8073" width="17.6640625" style="42" customWidth="1"/>
    <col min="8074" max="8074" width="18.5546875" style="42" customWidth="1"/>
    <col min="8075" max="8080" width="17.6640625" style="42" customWidth="1"/>
    <col min="8081" max="8081" width="18.5546875" style="42" customWidth="1"/>
    <col min="8082" max="8192" width="8.88671875" style="42"/>
    <col min="8193" max="8193" width="44.44140625" style="42" customWidth="1"/>
    <col min="8194" max="8218" width="0" style="42" hidden="1" customWidth="1"/>
    <col min="8219" max="8219" width="19.33203125" style="42" bestFit="1" customWidth="1"/>
    <col min="8220" max="8220" width="20" style="42" bestFit="1" customWidth="1"/>
    <col min="8221" max="8221" width="2.33203125" style="42" customWidth="1"/>
    <col min="8222" max="8222" width="20.5546875" style="42" customWidth="1"/>
    <col min="8223" max="8223" width="19.109375" style="42" customWidth="1"/>
    <col min="8224" max="8225" width="17.44140625" style="42" customWidth="1"/>
    <col min="8226" max="8226" width="1.6640625" style="42" customWidth="1"/>
    <col min="8227" max="8227" width="15.44140625" style="42" customWidth="1"/>
    <col min="8228" max="8229" width="12.5546875" style="42" customWidth="1"/>
    <col min="8230" max="8232" width="17.6640625" style="42" customWidth="1"/>
    <col min="8233" max="8234" width="18.88671875" style="42" customWidth="1"/>
    <col min="8235" max="8240" width="17.6640625" style="42" customWidth="1"/>
    <col min="8241" max="8241" width="17.88671875" style="42" customWidth="1"/>
    <col min="8242" max="8245" width="17.6640625" style="42" customWidth="1"/>
    <col min="8246" max="8246" width="18.88671875" style="42" customWidth="1"/>
    <col min="8247" max="8256" width="17.6640625" style="42" customWidth="1"/>
    <col min="8257" max="8257" width="19.109375" style="42" customWidth="1"/>
    <col min="8258" max="8258" width="18.88671875" style="42" customWidth="1"/>
    <col min="8259" max="8269" width="17.6640625" style="42" customWidth="1"/>
    <col min="8270" max="8270" width="19.109375" style="42" customWidth="1"/>
    <col min="8271" max="8279" width="17.6640625" style="42" customWidth="1"/>
    <col min="8280" max="8280" width="18.5546875" style="42" customWidth="1"/>
    <col min="8281" max="8282" width="18.88671875" style="42" customWidth="1"/>
    <col min="8283" max="8283" width="19.109375" style="42" customWidth="1"/>
    <col min="8284" max="8292" width="17.6640625" style="42" customWidth="1"/>
    <col min="8293" max="8293" width="18.5546875" style="42" customWidth="1"/>
    <col min="8294" max="8294" width="18.88671875" style="42" customWidth="1"/>
    <col min="8295" max="8304" width="17.6640625" style="42" customWidth="1"/>
    <col min="8305" max="8305" width="18.5546875" style="42" customWidth="1"/>
    <col min="8306" max="8306" width="19.109375" style="42" customWidth="1"/>
    <col min="8307" max="8311" width="17.6640625" style="42" customWidth="1"/>
    <col min="8312" max="8312" width="18.5546875" style="42" customWidth="1"/>
    <col min="8313" max="8317" width="17.6640625" style="42" customWidth="1"/>
    <col min="8318" max="8318" width="18.5546875" style="42" customWidth="1"/>
    <col min="8319" max="8329" width="17.6640625" style="42" customWidth="1"/>
    <col min="8330" max="8330" width="18.5546875" style="42" customWidth="1"/>
    <col min="8331" max="8336" width="17.6640625" style="42" customWidth="1"/>
    <col min="8337" max="8337" width="18.5546875" style="42" customWidth="1"/>
    <col min="8338" max="8448" width="8.88671875" style="42"/>
    <col min="8449" max="8449" width="44.44140625" style="42" customWidth="1"/>
    <col min="8450" max="8474" width="0" style="42" hidden="1" customWidth="1"/>
    <col min="8475" max="8475" width="19.33203125" style="42" bestFit="1" customWidth="1"/>
    <col min="8476" max="8476" width="20" style="42" bestFit="1" customWidth="1"/>
    <col min="8477" max="8477" width="2.33203125" style="42" customWidth="1"/>
    <col min="8478" max="8478" width="20.5546875" style="42" customWidth="1"/>
    <col min="8479" max="8479" width="19.109375" style="42" customWidth="1"/>
    <col min="8480" max="8481" width="17.44140625" style="42" customWidth="1"/>
    <col min="8482" max="8482" width="1.6640625" style="42" customWidth="1"/>
    <col min="8483" max="8483" width="15.44140625" style="42" customWidth="1"/>
    <col min="8484" max="8485" width="12.5546875" style="42" customWidth="1"/>
    <col min="8486" max="8488" width="17.6640625" style="42" customWidth="1"/>
    <col min="8489" max="8490" width="18.88671875" style="42" customWidth="1"/>
    <col min="8491" max="8496" width="17.6640625" style="42" customWidth="1"/>
    <col min="8497" max="8497" width="17.88671875" style="42" customWidth="1"/>
    <col min="8498" max="8501" width="17.6640625" style="42" customWidth="1"/>
    <col min="8502" max="8502" width="18.88671875" style="42" customWidth="1"/>
    <col min="8503" max="8512" width="17.6640625" style="42" customWidth="1"/>
    <col min="8513" max="8513" width="19.109375" style="42" customWidth="1"/>
    <col min="8514" max="8514" width="18.88671875" style="42" customWidth="1"/>
    <col min="8515" max="8525" width="17.6640625" style="42" customWidth="1"/>
    <col min="8526" max="8526" width="19.109375" style="42" customWidth="1"/>
    <col min="8527" max="8535" width="17.6640625" style="42" customWidth="1"/>
    <col min="8536" max="8536" width="18.5546875" style="42" customWidth="1"/>
    <col min="8537" max="8538" width="18.88671875" style="42" customWidth="1"/>
    <col min="8539" max="8539" width="19.109375" style="42" customWidth="1"/>
    <col min="8540" max="8548" width="17.6640625" style="42" customWidth="1"/>
    <col min="8549" max="8549" width="18.5546875" style="42" customWidth="1"/>
    <col min="8550" max="8550" width="18.88671875" style="42" customWidth="1"/>
    <col min="8551" max="8560" width="17.6640625" style="42" customWidth="1"/>
    <col min="8561" max="8561" width="18.5546875" style="42" customWidth="1"/>
    <col min="8562" max="8562" width="19.109375" style="42" customWidth="1"/>
    <col min="8563" max="8567" width="17.6640625" style="42" customWidth="1"/>
    <col min="8568" max="8568" width="18.5546875" style="42" customWidth="1"/>
    <col min="8569" max="8573" width="17.6640625" style="42" customWidth="1"/>
    <col min="8574" max="8574" width="18.5546875" style="42" customWidth="1"/>
    <col min="8575" max="8585" width="17.6640625" style="42" customWidth="1"/>
    <col min="8586" max="8586" width="18.5546875" style="42" customWidth="1"/>
    <col min="8587" max="8592" width="17.6640625" style="42" customWidth="1"/>
    <col min="8593" max="8593" width="18.5546875" style="42" customWidth="1"/>
    <col min="8594" max="8704" width="8.88671875" style="42"/>
    <col min="8705" max="8705" width="44.44140625" style="42" customWidth="1"/>
    <col min="8706" max="8730" width="0" style="42" hidden="1" customWidth="1"/>
    <col min="8731" max="8731" width="19.33203125" style="42" bestFit="1" customWidth="1"/>
    <col min="8732" max="8732" width="20" style="42" bestFit="1" customWidth="1"/>
    <col min="8733" max="8733" width="2.33203125" style="42" customWidth="1"/>
    <col min="8734" max="8734" width="20.5546875" style="42" customWidth="1"/>
    <col min="8735" max="8735" width="19.109375" style="42" customWidth="1"/>
    <col min="8736" max="8737" width="17.44140625" style="42" customWidth="1"/>
    <col min="8738" max="8738" width="1.6640625" style="42" customWidth="1"/>
    <col min="8739" max="8739" width="15.44140625" style="42" customWidth="1"/>
    <col min="8740" max="8741" width="12.5546875" style="42" customWidth="1"/>
    <col min="8742" max="8744" width="17.6640625" style="42" customWidth="1"/>
    <col min="8745" max="8746" width="18.88671875" style="42" customWidth="1"/>
    <col min="8747" max="8752" width="17.6640625" style="42" customWidth="1"/>
    <col min="8753" max="8753" width="17.88671875" style="42" customWidth="1"/>
    <col min="8754" max="8757" width="17.6640625" style="42" customWidth="1"/>
    <col min="8758" max="8758" width="18.88671875" style="42" customWidth="1"/>
    <col min="8759" max="8768" width="17.6640625" style="42" customWidth="1"/>
    <col min="8769" max="8769" width="19.109375" style="42" customWidth="1"/>
    <col min="8770" max="8770" width="18.88671875" style="42" customWidth="1"/>
    <col min="8771" max="8781" width="17.6640625" style="42" customWidth="1"/>
    <col min="8782" max="8782" width="19.109375" style="42" customWidth="1"/>
    <col min="8783" max="8791" width="17.6640625" style="42" customWidth="1"/>
    <col min="8792" max="8792" width="18.5546875" style="42" customWidth="1"/>
    <col min="8793" max="8794" width="18.88671875" style="42" customWidth="1"/>
    <col min="8795" max="8795" width="19.109375" style="42" customWidth="1"/>
    <col min="8796" max="8804" width="17.6640625" style="42" customWidth="1"/>
    <col min="8805" max="8805" width="18.5546875" style="42" customWidth="1"/>
    <col min="8806" max="8806" width="18.88671875" style="42" customWidth="1"/>
    <col min="8807" max="8816" width="17.6640625" style="42" customWidth="1"/>
    <col min="8817" max="8817" width="18.5546875" style="42" customWidth="1"/>
    <col min="8818" max="8818" width="19.109375" style="42" customWidth="1"/>
    <col min="8819" max="8823" width="17.6640625" style="42" customWidth="1"/>
    <col min="8824" max="8824" width="18.5546875" style="42" customWidth="1"/>
    <col min="8825" max="8829" width="17.6640625" style="42" customWidth="1"/>
    <col min="8830" max="8830" width="18.5546875" style="42" customWidth="1"/>
    <col min="8831" max="8841" width="17.6640625" style="42" customWidth="1"/>
    <col min="8842" max="8842" width="18.5546875" style="42" customWidth="1"/>
    <col min="8843" max="8848" width="17.6640625" style="42" customWidth="1"/>
    <col min="8849" max="8849" width="18.5546875" style="42" customWidth="1"/>
    <col min="8850" max="8960" width="8.88671875" style="42"/>
    <col min="8961" max="8961" width="44.44140625" style="42" customWidth="1"/>
    <col min="8962" max="8986" width="0" style="42" hidden="1" customWidth="1"/>
    <col min="8987" max="8987" width="19.33203125" style="42" bestFit="1" customWidth="1"/>
    <col min="8988" max="8988" width="20" style="42" bestFit="1" customWidth="1"/>
    <col min="8989" max="8989" width="2.33203125" style="42" customWidth="1"/>
    <col min="8990" max="8990" width="20.5546875" style="42" customWidth="1"/>
    <col min="8991" max="8991" width="19.109375" style="42" customWidth="1"/>
    <col min="8992" max="8993" width="17.44140625" style="42" customWidth="1"/>
    <col min="8994" max="8994" width="1.6640625" style="42" customWidth="1"/>
    <col min="8995" max="8995" width="15.44140625" style="42" customWidth="1"/>
    <col min="8996" max="8997" width="12.5546875" style="42" customWidth="1"/>
    <col min="8998" max="9000" width="17.6640625" style="42" customWidth="1"/>
    <col min="9001" max="9002" width="18.88671875" style="42" customWidth="1"/>
    <col min="9003" max="9008" width="17.6640625" style="42" customWidth="1"/>
    <col min="9009" max="9009" width="17.88671875" style="42" customWidth="1"/>
    <col min="9010" max="9013" width="17.6640625" style="42" customWidth="1"/>
    <col min="9014" max="9014" width="18.88671875" style="42" customWidth="1"/>
    <col min="9015" max="9024" width="17.6640625" style="42" customWidth="1"/>
    <col min="9025" max="9025" width="19.109375" style="42" customWidth="1"/>
    <col min="9026" max="9026" width="18.88671875" style="42" customWidth="1"/>
    <col min="9027" max="9037" width="17.6640625" style="42" customWidth="1"/>
    <col min="9038" max="9038" width="19.109375" style="42" customWidth="1"/>
    <col min="9039" max="9047" width="17.6640625" style="42" customWidth="1"/>
    <col min="9048" max="9048" width="18.5546875" style="42" customWidth="1"/>
    <col min="9049" max="9050" width="18.88671875" style="42" customWidth="1"/>
    <col min="9051" max="9051" width="19.109375" style="42" customWidth="1"/>
    <col min="9052" max="9060" width="17.6640625" style="42" customWidth="1"/>
    <col min="9061" max="9061" width="18.5546875" style="42" customWidth="1"/>
    <col min="9062" max="9062" width="18.88671875" style="42" customWidth="1"/>
    <col min="9063" max="9072" width="17.6640625" style="42" customWidth="1"/>
    <col min="9073" max="9073" width="18.5546875" style="42" customWidth="1"/>
    <col min="9074" max="9074" width="19.109375" style="42" customWidth="1"/>
    <col min="9075" max="9079" width="17.6640625" style="42" customWidth="1"/>
    <col min="9080" max="9080" width="18.5546875" style="42" customWidth="1"/>
    <col min="9081" max="9085" width="17.6640625" style="42" customWidth="1"/>
    <col min="9086" max="9086" width="18.5546875" style="42" customWidth="1"/>
    <col min="9087" max="9097" width="17.6640625" style="42" customWidth="1"/>
    <col min="9098" max="9098" width="18.5546875" style="42" customWidth="1"/>
    <col min="9099" max="9104" width="17.6640625" style="42" customWidth="1"/>
    <col min="9105" max="9105" width="18.5546875" style="42" customWidth="1"/>
    <col min="9106" max="9216" width="8.88671875" style="42"/>
    <col min="9217" max="9217" width="44.44140625" style="42" customWidth="1"/>
    <col min="9218" max="9242" width="0" style="42" hidden="1" customWidth="1"/>
    <col min="9243" max="9243" width="19.33203125" style="42" bestFit="1" customWidth="1"/>
    <col min="9244" max="9244" width="20" style="42" bestFit="1" customWidth="1"/>
    <col min="9245" max="9245" width="2.33203125" style="42" customWidth="1"/>
    <col min="9246" max="9246" width="20.5546875" style="42" customWidth="1"/>
    <col min="9247" max="9247" width="19.109375" style="42" customWidth="1"/>
    <col min="9248" max="9249" width="17.44140625" style="42" customWidth="1"/>
    <col min="9250" max="9250" width="1.6640625" style="42" customWidth="1"/>
    <col min="9251" max="9251" width="15.44140625" style="42" customWidth="1"/>
    <col min="9252" max="9253" width="12.5546875" style="42" customWidth="1"/>
    <col min="9254" max="9256" width="17.6640625" style="42" customWidth="1"/>
    <col min="9257" max="9258" width="18.88671875" style="42" customWidth="1"/>
    <col min="9259" max="9264" width="17.6640625" style="42" customWidth="1"/>
    <col min="9265" max="9265" width="17.88671875" style="42" customWidth="1"/>
    <col min="9266" max="9269" width="17.6640625" style="42" customWidth="1"/>
    <col min="9270" max="9270" width="18.88671875" style="42" customWidth="1"/>
    <col min="9271" max="9280" width="17.6640625" style="42" customWidth="1"/>
    <col min="9281" max="9281" width="19.109375" style="42" customWidth="1"/>
    <col min="9282" max="9282" width="18.88671875" style="42" customWidth="1"/>
    <col min="9283" max="9293" width="17.6640625" style="42" customWidth="1"/>
    <col min="9294" max="9294" width="19.109375" style="42" customWidth="1"/>
    <col min="9295" max="9303" width="17.6640625" style="42" customWidth="1"/>
    <col min="9304" max="9304" width="18.5546875" style="42" customWidth="1"/>
    <col min="9305" max="9306" width="18.88671875" style="42" customWidth="1"/>
    <col min="9307" max="9307" width="19.109375" style="42" customWidth="1"/>
    <col min="9308" max="9316" width="17.6640625" style="42" customWidth="1"/>
    <col min="9317" max="9317" width="18.5546875" style="42" customWidth="1"/>
    <col min="9318" max="9318" width="18.88671875" style="42" customWidth="1"/>
    <col min="9319" max="9328" width="17.6640625" style="42" customWidth="1"/>
    <col min="9329" max="9329" width="18.5546875" style="42" customWidth="1"/>
    <col min="9330" max="9330" width="19.109375" style="42" customWidth="1"/>
    <col min="9331" max="9335" width="17.6640625" style="42" customWidth="1"/>
    <col min="9336" max="9336" width="18.5546875" style="42" customWidth="1"/>
    <col min="9337" max="9341" width="17.6640625" style="42" customWidth="1"/>
    <col min="9342" max="9342" width="18.5546875" style="42" customWidth="1"/>
    <col min="9343" max="9353" width="17.6640625" style="42" customWidth="1"/>
    <col min="9354" max="9354" width="18.5546875" style="42" customWidth="1"/>
    <col min="9355" max="9360" width="17.6640625" style="42" customWidth="1"/>
    <col min="9361" max="9361" width="18.5546875" style="42" customWidth="1"/>
    <col min="9362" max="9472" width="8.88671875" style="42"/>
    <col min="9473" max="9473" width="44.44140625" style="42" customWidth="1"/>
    <col min="9474" max="9498" width="0" style="42" hidden="1" customWidth="1"/>
    <col min="9499" max="9499" width="19.33203125" style="42" bestFit="1" customWidth="1"/>
    <col min="9500" max="9500" width="20" style="42" bestFit="1" customWidth="1"/>
    <col min="9501" max="9501" width="2.33203125" style="42" customWidth="1"/>
    <col min="9502" max="9502" width="20.5546875" style="42" customWidth="1"/>
    <col min="9503" max="9503" width="19.109375" style="42" customWidth="1"/>
    <col min="9504" max="9505" width="17.44140625" style="42" customWidth="1"/>
    <col min="9506" max="9506" width="1.6640625" style="42" customWidth="1"/>
    <col min="9507" max="9507" width="15.44140625" style="42" customWidth="1"/>
    <col min="9508" max="9509" width="12.5546875" style="42" customWidth="1"/>
    <col min="9510" max="9512" width="17.6640625" style="42" customWidth="1"/>
    <col min="9513" max="9514" width="18.88671875" style="42" customWidth="1"/>
    <col min="9515" max="9520" width="17.6640625" style="42" customWidth="1"/>
    <col min="9521" max="9521" width="17.88671875" style="42" customWidth="1"/>
    <col min="9522" max="9525" width="17.6640625" style="42" customWidth="1"/>
    <col min="9526" max="9526" width="18.88671875" style="42" customWidth="1"/>
    <col min="9527" max="9536" width="17.6640625" style="42" customWidth="1"/>
    <col min="9537" max="9537" width="19.109375" style="42" customWidth="1"/>
    <col min="9538" max="9538" width="18.88671875" style="42" customWidth="1"/>
    <col min="9539" max="9549" width="17.6640625" style="42" customWidth="1"/>
    <col min="9550" max="9550" width="19.109375" style="42" customWidth="1"/>
    <col min="9551" max="9559" width="17.6640625" style="42" customWidth="1"/>
    <col min="9560" max="9560" width="18.5546875" style="42" customWidth="1"/>
    <col min="9561" max="9562" width="18.88671875" style="42" customWidth="1"/>
    <col min="9563" max="9563" width="19.109375" style="42" customWidth="1"/>
    <col min="9564" max="9572" width="17.6640625" style="42" customWidth="1"/>
    <col min="9573" max="9573" width="18.5546875" style="42" customWidth="1"/>
    <col min="9574" max="9574" width="18.88671875" style="42" customWidth="1"/>
    <col min="9575" max="9584" width="17.6640625" style="42" customWidth="1"/>
    <col min="9585" max="9585" width="18.5546875" style="42" customWidth="1"/>
    <col min="9586" max="9586" width="19.109375" style="42" customWidth="1"/>
    <col min="9587" max="9591" width="17.6640625" style="42" customWidth="1"/>
    <col min="9592" max="9592" width="18.5546875" style="42" customWidth="1"/>
    <col min="9593" max="9597" width="17.6640625" style="42" customWidth="1"/>
    <col min="9598" max="9598" width="18.5546875" style="42" customWidth="1"/>
    <col min="9599" max="9609" width="17.6640625" style="42" customWidth="1"/>
    <col min="9610" max="9610" width="18.5546875" style="42" customWidth="1"/>
    <col min="9611" max="9616" width="17.6640625" style="42" customWidth="1"/>
    <col min="9617" max="9617" width="18.5546875" style="42" customWidth="1"/>
    <col min="9618" max="9728" width="8.88671875" style="42"/>
    <col min="9729" max="9729" width="44.44140625" style="42" customWidth="1"/>
    <col min="9730" max="9754" width="0" style="42" hidden="1" customWidth="1"/>
    <col min="9755" max="9755" width="19.33203125" style="42" bestFit="1" customWidth="1"/>
    <col min="9756" max="9756" width="20" style="42" bestFit="1" customWidth="1"/>
    <col min="9757" max="9757" width="2.33203125" style="42" customWidth="1"/>
    <col min="9758" max="9758" width="20.5546875" style="42" customWidth="1"/>
    <col min="9759" max="9759" width="19.109375" style="42" customWidth="1"/>
    <col min="9760" max="9761" width="17.44140625" style="42" customWidth="1"/>
    <col min="9762" max="9762" width="1.6640625" style="42" customWidth="1"/>
    <col min="9763" max="9763" width="15.44140625" style="42" customWidth="1"/>
    <col min="9764" max="9765" width="12.5546875" style="42" customWidth="1"/>
    <col min="9766" max="9768" width="17.6640625" style="42" customWidth="1"/>
    <col min="9769" max="9770" width="18.88671875" style="42" customWidth="1"/>
    <col min="9771" max="9776" width="17.6640625" style="42" customWidth="1"/>
    <col min="9777" max="9777" width="17.88671875" style="42" customWidth="1"/>
    <col min="9778" max="9781" width="17.6640625" style="42" customWidth="1"/>
    <col min="9782" max="9782" width="18.88671875" style="42" customWidth="1"/>
    <col min="9783" max="9792" width="17.6640625" style="42" customWidth="1"/>
    <col min="9793" max="9793" width="19.109375" style="42" customWidth="1"/>
    <col min="9794" max="9794" width="18.88671875" style="42" customWidth="1"/>
    <col min="9795" max="9805" width="17.6640625" style="42" customWidth="1"/>
    <col min="9806" max="9806" width="19.109375" style="42" customWidth="1"/>
    <col min="9807" max="9815" width="17.6640625" style="42" customWidth="1"/>
    <col min="9816" max="9816" width="18.5546875" style="42" customWidth="1"/>
    <col min="9817" max="9818" width="18.88671875" style="42" customWidth="1"/>
    <col min="9819" max="9819" width="19.109375" style="42" customWidth="1"/>
    <col min="9820" max="9828" width="17.6640625" style="42" customWidth="1"/>
    <col min="9829" max="9829" width="18.5546875" style="42" customWidth="1"/>
    <col min="9830" max="9830" width="18.88671875" style="42" customWidth="1"/>
    <col min="9831" max="9840" width="17.6640625" style="42" customWidth="1"/>
    <col min="9841" max="9841" width="18.5546875" style="42" customWidth="1"/>
    <col min="9842" max="9842" width="19.109375" style="42" customWidth="1"/>
    <col min="9843" max="9847" width="17.6640625" style="42" customWidth="1"/>
    <col min="9848" max="9848" width="18.5546875" style="42" customWidth="1"/>
    <col min="9849" max="9853" width="17.6640625" style="42" customWidth="1"/>
    <col min="9854" max="9854" width="18.5546875" style="42" customWidth="1"/>
    <col min="9855" max="9865" width="17.6640625" style="42" customWidth="1"/>
    <col min="9866" max="9866" width="18.5546875" style="42" customWidth="1"/>
    <col min="9867" max="9872" width="17.6640625" style="42" customWidth="1"/>
    <col min="9873" max="9873" width="18.5546875" style="42" customWidth="1"/>
    <col min="9874" max="9984" width="8.88671875" style="42"/>
    <col min="9985" max="9985" width="44.44140625" style="42" customWidth="1"/>
    <col min="9986" max="10010" width="0" style="42" hidden="1" customWidth="1"/>
    <col min="10011" max="10011" width="19.33203125" style="42" bestFit="1" customWidth="1"/>
    <col min="10012" max="10012" width="20" style="42" bestFit="1" customWidth="1"/>
    <col min="10013" max="10013" width="2.33203125" style="42" customWidth="1"/>
    <col min="10014" max="10014" width="20.5546875" style="42" customWidth="1"/>
    <col min="10015" max="10015" width="19.109375" style="42" customWidth="1"/>
    <col min="10016" max="10017" width="17.44140625" style="42" customWidth="1"/>
    <col min="10018" max="10018" width="1.6640625" style="42" customWidth="1"/>
    <col min="10019" max="10019" width="15.44140625" style="42" customWidth="1"/>
    <col min="10020" max="10021" width="12.5546875" style="42" customWidth="1"/>
    <col min="10022" max="10024" width="17.6640625" style="42" customWidth="1"/>
    <col min="10025" max="10026" width="18.88671875" style="42" customWidth="1"/>
    <col min="10027" max="10032" width="17.6640625" style="42" customWidth="1"/>
    <col min="10033" max="10033" width="17.88671875" style="42" customWidth="1"/>
    <col min="10034" max="10037" width="17.6640625" style="42" customWidth="1"/>
    <col min="10038" max="10038" width="18.88671875" style="42" customWidth="1"/>
    <col min="10039" max="10048" width="17.6640625" style="42" customWidth="1"/>
    <col min="10049" max="10049" width="19.109375" style="42" customWidth="1"/>
    <col min="10050" max="10050" width="18.88671875" style="42" customWidth="1"/>
    <col min="10051" max="10061" width="17.6640625" style="42" customWidth="1"/>
    <col min="10062" max="10062" width="19.109375" style="42" customWidth="1"/>
    <col min="10063" max="10071" width="17.6640625" style="42" customWidth="1"/>
    <col min="10072" max="10072" width="18.5546875" style="42" customWidth="1"/>
    <col min="10073" max="10074" width="18.88671875" style="42" customWidth="1"/>
    <col min="10075" max="10075" width="19.109375" style="42" customWidth="1"/>
    <col min="10076" max="10084" width="17.6640625" style="42" customWidth="1"/>
    <col min="10085" max="10085" width="18.5546875" style="42" customWidth="1"/>
    <col min="10086" max="10086" width="18.88671875" style="42" customWidth="1"/>
    <col min="10087" max="10096" width="17.6640625" style="42" customWidth="1"/>
    <col min="10097" max="10097" width="18.5546875" style="42" customWidth="1"/>
    <col min="10098" max="10098" width="19.109375" style="42" customWidth="1"/>
    <col min="10099" max="10103" width="17.6640625" style="42" customWidth="1"/>
    <col min="10104" max="10104" width="18.5546875" style="42" customWidth="1"/>
    <col min="10105" max="10109" width="17.6640625" style="42" customWidth="1"/>
    <col min="10110" max="10110" width="18.5546875" style="42" customWidth="1"/>
    <col min="10111" max="10121" width="17.6640625" style="42" customWidth="1"/>
    <col min="10122" max="10122" width="18.5546875" style="42" customWidth="1"/>
    <col min="10123" max="10128" width="17.6640625" style="42" customWidth="1"/>
    <col min="10129" max="10129" width="18.5546875" style="42" customWidth="1"/>
    <col min="10130" max="10240" width="8.88671875" style="42"/>
    <col min="10241" max="10241" width="44.44140625" style="42" customWidth="1"/>
    <col min="10242" max="10266" width="0" style="42" hidden="1" customWidth="1"/>
    <col min="10267" max="10267" width="19.33203125" style="42" bestFit="1" customWidth="1"/>
    <col min="10268" max="10268" width="20" style="42" bestFit="1" customWidth="1"/>
    <col min="10269" max="10269" width="2.33203125" style="42" customWidth="1"/>
    <col min="10270" max="10270" width="20.5546875" style="42" customWidth="1"/>
    <col min="10271" max="10271" width="19.109375" style="42" customWidth="1"/>
    <col min="10272" max="10273" width="17.44140625" style="42" customWidth="1"/>
    <col min="10274" max="10274" width="1.6640625" style="42" customWidth="1"/>
    <col min="10275" max="10275" width="15.44140625" style="42" customWidth="1"/>
    <col min="10276" max="10277" width="12.5546875" style="42" customWidth="1"/>
    <col min="10278" max="10280" width="17.6640625" style="42" customWidth="1"/>
    <col min="10281" max="10282" width="18.88671875" style="42" customWidth="1"/>
    <col min="10283" max="10288" width="17.6640625" style="42" customWidth="1"/>
    <col min="10289" max="10289" width="17.88671875" style="42" customWidth="1"/>
    <col min="10290" max="10293" width="17.6640625" style="42" customWidth="1"/>
    <col min="10294" max="10294" width="18.88671875" style="42" customWidth="1"/>
    <col min="10295" max="10304" width="17.6640625" style="42" customWidth="1"/>
    <col min="10305" max="10305" width="19.109375" style="42" customWidth="1"/>
    <col min="10306" max="10306" width="18.88671875" style="42" customWidth="1"/>
    <col min="10307" max="10317" width="17.6640625" style="42" customWidth="1"/>
    <col min="10318" max="10318" width="19.109375" style="42" customWidth="1"/>
    <col min="10319" max="10327" width="17.6640625" style="42" customWidth="1"/>
    <col min="10328" max="10328" width="18.5546875" style="42" customWidth="1"/>
    <col min="10329" max="10330" width="18.88671875" style="42" customWidth="1"/>
    <col min="10331" max="10331" width="19.109375" style="42" customWidth="1"/>
    <col min="10332" max="10340" width="17.6640625" style="42" customWidth="1"/>
    <col min="10341" max="10341" width="18.5546875" style="42" customWidth="1"/>
    <col min="10342" max="10342" width="18.88671875" style="42" customWidth="1"/>
    <col min="10343" max="10352" width="17.6640625" style="42" customWidth="1"/>
    <col min="10353" max="10353" width="18.5546875" style="42" customWidth="1"/>
    <col min="10354" max="10354" width="19.109375" style="42" customWidth="1"/>
    <col min="10355" max="10359" width="17.6640625" style="42" customWidth="1"/>
    <col min="10360" max="10360" width="18.5546875" style="42" customWidth="1"/>
    <col min="10361" max="10365" width="17.6640625" style="42" customWidth="1"/>
    <col min="10366" max="10366" width="18.5546875" style="42" customWidth="1"/>
    <col min="10367" max="10377" width="17.6640625" style="42" customWidth="1"/>
    <col min="10378" max="10378" width="18.5546875" style="42" customWidth="1"/>
    <col min="10379" max="10384" width="17.6640625" style="42" customWidth="1"/>
    <col min="10385" max="10385" width="18.5546875" style="42" customWidth="1"/>
    <col min="10386" max="10496" width="8.88671875" style="42"/>
    <col min="10497" max="10497" width="44.44140625" style="42" customWidth="1"/>
    <col min="10498" max="10522" width="0" style="42" hidden="1" customWidth="1"/>
    <col min="10523" max="10523" width="19.33203125" style="42" bestFit="1" customWidth="1"/>
    <col min="10524" max="10524" width="20" style="42" bestFit="1" customWidth="1"/>
    <col min="10525" max="10525" width="2.33203125" style="42" customWidth="1"/>
    <col min="10526" max="10526" width="20.5546875" style="42" customWidth="1"/>
    <col min="10527" max="10527" width="19.109375" style="42" customWidth="1"/>
    <col min="10528" max="10529" width="17.44140625" style="42" customWidth="1"/>
    <col min="10530" max="10530" width="1.6640625" style="42" customWidth="1"/>
    <col min="10531" max="10531" width="15.44140625" style="42" customWidth="1"/>
    <col min="10532" max="10533" width="12.5546875" style="42" customWidth="1"/>
    <col min="10534" max="10536" width="17.6640625" style="42" customWidth="1"/>
    <col min="10537" max="10538" width="18.88671875" style="42" customWidth="1"/>
    <col min="10539" max="10544" width="17.6640625" style="42" customWidth="1"/>
    <col min="10545" max="10545" width="17.88671875" style="42" customWidth="1"/>
    <col min="10546" max="10549" width="17.6640625" style="42" customWidth="1"/>
    <col min="10550" max="10550" width="18.88671875" style="42" customWidth="1"/>
    <col min="10551" max="10560" width="17.6640625" style="42" customWidth="1"/>
    <col min="10561" max="10561" width="19.109375" style="42" customWidth="1"/>
    <col min="10562" max="10562" width="18.88671875" style="42" customWidth="1"/>
    <col min="10563" max="10573" width="17.6640625" style="42" customWidth="1"/>
    <col min="10574" max="10574" width="19.109375" style="42" customWidth="1"/>
    <col min="10575" max="10583" width="17.6640625" style="42" customWidth="1"/>
    <col min="10584" max="10584" width="18.5546875" style="42" customWidth="1"/>
    <col min="10585" max="10586" width="18.88671875" style="42" customWidth="1"/>
    <col min="10587" max="10587" width="19.109375" style="42" customWidth="1"/>
    <col min="10588" max="10596" width="17.6640625" style="42" customWidth="1"/>
    <col min="10597" max="10597" width="18.5546875" style="42" customWidth="1"/>
    <col min="10598" max="10598" width="18.88671875" style="42" customWidth="1"/>
    <col min="10599" max="10608" width="17.6640625" style="42" customWidth="1"/>
    <col min="10609" max="10609" width="18.5546875" style="42" customWidth="1"/>
    <col min="10610" max="10610" width="19.109375" style="42" customWidth="1"/>
    <col min="10611" max="10615" width="17.6640625" style="42" customWidth="1"/>
    <col min="10616" max="10616" width="18.5546875" style="42" customWidth="1"/>
    <col min="10617" max="10621" width="17.6640625" style="42" customWidth="1"/>
    <col min="10622" max="10622" width="18.5546875" style="42" customWidth="1"/>
    <col min="10623" max="10633" width="17.6640625" style="42" customWidth="1"/>
    <col min="10634" max="10634" width="18.5546875" style="42" customWidth="1"/>
    <col min="10635" max="10640" width="17.6640625" style="42" customWidth="1"/>
    <col min="10641" max="10641" width="18.5546875" style="42" customWidth="1"/>
    <col min="10642" max="10752" width="8.88671875" style="42"/>
    <col min="10753" max="10753" width="44.44140625" style="42" customWidth="1"/>
    <col min="10754" max="10778" width="0" style="42" hidden="1" customWidth="1"/>
    <col min="10779" max="10779" width="19.33203125" style="42" bestFit="1" customWidth="1"/>
    <col min="10780" max="10780" width="20" style="42" bestFit="1" customWidth="1"/>
    <col min="10781" max="10781" width="2.33203125" style="42" customWidth="1"/>
    <col min="10782" max="10782" width="20.5546875" style="42" customWidth="1"/>
    <col min="10783" max="10783" width="19.109375" style="42" customWidth="1"/>
    <col min="10784" max="10785" width="17.44140625" style="42" customWidth="1"/>
    <col min="10786" max="10786" width="1.6640625" style="42" customWidth="1"/>
    <col min="10787" max="10787" width="15.44140625" style="42" customWidth="1"/>
    <col min="10788" max="10789" width="12.5546875" style="42" customWidth="1"/>
    <col min="10790" max="10792" width="17.6640625" style="42" customWidth="1"/>
    <col min="10793" max="10794" width="18.88671875" style="42" customWidth="1"/>
    <col min="10795" max="10800" width="17.6640625" style="42" customWidth="1"/>
    <col min="10801" max="10801" width="17.88671875" style="42" customWidth="1"/>
    <col min="10802" max="10805" width="17.6640625" style="42" customWidth="1"/>
    <col min="10806" max="10806" width="18.88671875" style="42" customWidth="1"/>
    <col min="10807" max="10816" width="17.6640625" style="42" customWidth="1"/>
    <col min="10817" max="10817" width="19.109375" style="42" customWidth="1"/>
    <col min="10818" max="10818" width="18.88671875" style="42" customWidth="1"/>
    <col min="10819" max="10829" width="17.6640625" style="42" customWidth="1"/>
    <col min="10830" max="10830" width="19.109375" style="42" customWidth="1"/>
    <col min="10831" max="10839" width="17.6640625" style="42" customWidth="1"/>
    <col min="10840" max="10840" width="18.5546875" style="42" customWidth="1"/>
    <col min="10841" max="10842" width="18.88671875" style="42" customWidth="1"/>
    <col min="10843" max="10843" width="19.109375" style="42" customWidth="1"/>
    <col min="10844" max="10852" width="17.6640625" style="42" customWidth="1"/>
    <col min="10853" max="10853" width="18.5546875" style="42" customWidth="1"/>
    <col min="10854" max="10854" width="18.88671875" style="42" customWidth="1"/>
    <col min="10855" max="10864" width="17.6640625" style="42" customWidth="1"/>
    <col min="10865" max="10865" width="18.5546875" style="42" customWidth="1"/>
    <col min="10866" max="10866" width="19.109375" style="42" customWidth="1"/>
    <col min="10867" max="10871" width="17.6640625" style="42" customWidth="1"/>
    <col min="10872" max="10872" width="18.5546875" style="42" customWidth="1"/>
    <col min="10873" max="10877" width="17.6640625" style="42" customWidth="1"/>
    <col min="10878" max="10878" width="18.5546875" style="42" customWidth="1"/>
    <col min="10879" max="10889" width="17.6640625" style="42" customWidth="1"/>
    <col min="10890" max="10890" width="18.5546875" style="42" customWidth="1"/>
    <col min="10891" max="10896" width="17.6640625" style="42" customWidth="1"/>
    <col min="10897" max="10897" width="18.5546875" style="42" customWidth="1"/>
    <col min="10898" max="11008" width="8.88671875" style="42"/>
    <col min="11009" max="11009" width="44.44140625" style="42" customWidth="1"/>
    <col min="11010" max="11034" width="0" style="42" hidden="1" customWidth="1"/>
    <col min="11035" max="11035" width="19.33203125" style="42" bestFit="1" customWidth="1"/>
    <col min="11036" max="11036" width="20" style="42" bestFit="1" customWidth="1"/>
    <col min="11037" max="11037" width="2.33203125" style="42" customWidth="1"/>
    <col min="11038" max="11038" width="20.5546875" style="42" customWidth="1"/>
    <col min="11039" max="11039" width="19.109375" style="42" customWidth="1"/>
    <col min="11040" max="11041" width="17.44140625" style="42" customWidth="1"/>
    <col min="11042" max="11042" width="1.6640625" style="42" customWidth="1"/>
    <col min="11043" max="11043" width="15.44140625" style="42" customWidth="1"/>
    <col min="11044" max="11045" width="12.5546875" style="42" customWidth="1"/>
    <col min="11046" max="11048" width="17.6640625" style="42" customWidth="1"/>
    <col min="11049" max="11050" width="18.88671875" style="42" customWidth="1"/>
    <col min="11051" max="11056" width="17.6640625" style="42" customWidth="1"/>
    <col min="11057" max="11057" width="17.88671875" style="42" customWidth="1"/>
    <col min="11058" max="11061" width="17.6640625" style="42" customWidth="1"/>
    <col min="11062" max="11062" width="18.88671875" style="42" customWidth="1"/>
    <col min="11063" max="11072" width="17.6640625" style="42" customWidth="1"/>
    <col min="11073" max="11073" width="19.109375" style="42" customWidth="1"/>
    <col min="11074" max="11074" width="18.88671875" style="42" customWidth="1"/>
    <col min="11075" max="11085" width="17.6640625" style="42" customWidth="1"/>
    <col min="11086" max="11086" width="19.109375" style="42" customWidth="1"/>
    <col min="11087" max="11095" width="17.6640625" style="42" customWidth="1"/>
    <col min="11096" max="11096" width="18.5546875" style="42" customWidth="1"/>
    <col min="11097" max="11098" width="18.88671875" style="42" customWidth="1"/>
    <col min="11099" max="11099" width="19.109375" style="42" customWidth="1"/>
    <col min="11100" max="11108" width="17.6640625" style="42" customWidth="1"/>
    <col min="11109" max="11109" width="18.5546875" style="42" customWidth="1"/>
    <col min="11110" max="11110" width="18.88671875" style="42" customWidth="1"/>
    <col min="11111" max="11120" width="17.6640625" style="42" customWidth="1"/>
    <col min="11121" max="11121" width="18.5546875" style="42" customWidth="1"/>
    <col min="11122" max="11122" width="19.109375" style="42" customWidth="1"/>
    <col min="11123" max="11127" width="17.6640625" style="42" customWidth="1"/>
    <col min="11128" max="11128" width="18.5546875" style="42" customWidth="1"/>
    <col min="11129" max="11133" width="17.6640625" style="42" customWidth="1"/>
    <col min="11134" max="11134" width="18.5546875" style="42" customWidth="1"/>
    <col min="11135" max="11145" width="17.6640625" style="42" customWidth="1"/>
    <col min="11146" max="11146" width="18.5546875" style="42" customWidth="1"/>
    <col min="11147" max="11152" width="17.6640625" style="42" customWidth="1"/>
    <col min="11153" max="11153" width="18.5546875" style="42" customWidth="1"/>
    <col min="11154" max="11264" width="8.88671875" style="42"/>
    <col min="11265" max="11265" width="44.44140625" style="42" customWidth="1"/>
    <col min="11266" max="11290" width="0" style="42" hidden="1" customWidth="1"/>
    <col min="11291" max="11291" width="19.33203125" style="42" bestFit="1" customWidth="1"/>
    <col min="11292" max="11292" width="20" style="42" bestFit="1" customWidth="1"/>
    <col min="11293" max="11293" width="2.33203125" style="42" customWidth="1"/>
    <col min="11294" max="11294" width="20.5546875" style="42" customWidth="1"/>
    <col min="11295" max="11295" width="19.109375" style="42" customWidth="1"/>
    <col min="11296" max="11297" width="17.44140625" style="42" customWidth="1"/>
    <col min="11298" max="11298" width="1.6640625" style="42" customWidth="1"/>
    <col min="11299" max="11299" width="15.44140625" style="42" customWidth="1"/>
    <col min="11300" max="11301" width="12.5546875" style="42" customWidth="1"/>
    <col min="11302" max="11304" width="17.6640625" style="42" customWidth="1"/>
    <col min="11305" max="11306" width="18.88671875" style="42" customWidth="1"/>
    <col min="11307" max="11312" width="17.6640625" style="42" customWidth="1"/>
    <col min="11313" max="11313" width="17.88671875" style="42" customWidth="1"/>
    <col min="11314" max="11317" width="17.6640625" style="42" customWidth="1"/>
    <col min="11318" max="11318" width="18.88671875" style="42" customWidth="1"/>
    <col min="11319" max="11328" width="17.6640625" style="42" customWidth="1"/>
    <col min="11329" max="11329" width="19.109375" style="42" customWidth="1"/>
    <col min="11330" max="11330" width="18.88671875" style="42" customWidth="1"/>
    <col min="11331" max="11341" width="17.6640625" style="42" customWidth="1"/>
    <col min="11342" max="11342" width="19.109375" style="42" customWidth="1"/>
    <col min="11343" max="11351" width="17.6640625" style="42" customWidth="1"/>
    <col min="11352" max="11352" width="18.5546875" style="42" customWidth="1"/>
    <col min="11353" max="11354" width="18.88671875" style="42" customWidth="1"/>
    <col min="11355" max="11355" width="19.109375" style="42" customWidth="1"/>
    <col min="11356" max="11364" width="17.6640625" style="42" customWidth="1"/>
    <col min="11365" max="11365" width="18.5546875" style="42" customWidth="1"/>
    <col min="11366" max="11366" width="18.88671875" style="42" customWidth="1"/>
    <col min="11367" max="11376" width="17.6640625" style="42" customWidth="1"/>
    <col min="11377" max="11377" width="18.5546875" style="42" customWidth="1"/>
    <col min="11378" max="11378" width="19.109375" style="42" customWidth="1"/>
    <col min="11379" max="11383" width="17.6640625" style="42" customWidth="1"/>
    <col min="11384" max="11384" width="18.5546875" style="42" customWidth="1"/>
    <col min="11385" max="11389" width="17.6640625" style="42" customWidth="1"/>
    <col min="11390" max="11390" width="18.5546875" style="42" customWidth="1"/>
    <col min="11391" max="11401" width="17.6640625" style="42" customWidth="1"/>
    <col min="11402" max="11402" width="18.5546875" style="42" customWidth="1"/>
    <col min="11403" max="11408" width="17.6640625" style="42" customWidth="1"/>
    <col min="11409" max="11409" width="18.5546875" style="42" customWidth="1"/>
    <col min="11410" max="11520" width="8.88671875" style="42"/>
    <col min="11521" max="11521" width="44.44140625" style="42" customWidth="1"/>
    <col min="11522" max="11546" width="0" style="42" hidden="1" customWidth="1"/>
    <col min="11547" max="11547" width="19.33203125" style="42" bestFit="1" customWidth="1"/>
    <col min="11548" max="11548" width="20" style="42" bestFit="1" customWidth="1"/>
    <col min="11549" max="11549" width="2.33203125" style="42" customWidth="1"/>
    <col min="11550" max="11550" width="20.5546875" style="42" customWidth="1"/>
    <col min="11551" max="11551" width="19.109375" style="42" customWidth="1"/>
    <col min="11552" max="11553" width="17.44140625" style="42" customWidth="1"/>
    <col min="11554" max="11554" width="1.6640625" style="42" customWidth="1"/>
    <col min="11555" max="11555" width="15.44140625" style="42" customWidth="1"/>
    <col min="11556" max="11557" width="12.5546875" style="42" customWidth="1"/>
    <col min="11558" max="11560" width="17.6640625" style="42" customWidth="1"/>
    <col min="11561" max="11562" width="18.88671875" style="42" customWidth="1"/>
    <col min="11563" max="11568" width="17.6640625" style="42" customWidth="1"/>
    <col min="11569" max="11569" width="17.88671875" style="42" customWidth="1"/>
    <col min="11570" max="11573" width="17.6640625" style="42" customWidth="1"/>
    <col min="11574" max="11574" width="18.88671875" style="42" customWidth="1"/>
    <col min="11575" max="11584" width="17.6640625" style="42" customWidth="1"/>
    <col min="11585" max="11585" width="19.109375" style="42" customWidth="1"/>
    <col min="11586" max="11586" width="18.88671875" style="42" customWidth="1"/>
    <col min="11587" max="11597" width="17.6640625" style="42" customWidth="1"/>
    <col min="11598" max="11598" width="19.109375" style="42" customWidth="1"/>
    <col min="11599" max="11607" width="17.6640625" style="42" customWidth="1"/>
    <col min="11608" max="11608" width="18.5546875" style="42" customWidth="1"/>
    <col min="11609" max="11610" width="18.88671875" style="42" customWidth="1"/>
    <col min="11611" max="11611" width="19.109375" style="42" customWidth="1"/>
    <col min="11612" max="11620" width="17.6640625" style="42" customWidth="1"/>
    <col min="11621" max="11621" width="18.5546875" style="42" customWidth="1"/>
    <col min="11622" max="11622" width="18.88671875" style="42" customWidth="1"/>
    <col min="11623" max="11632" width="17.6640625" style="42" customWidth="1"/>
    <col min="11633" max="11633" width="18.5546875" style="42" customWidth="1"/>
    <col min="11634" max="11634" width="19.109375" style="42" customWidth="1"/>
    <col min="11635" max="11639" width="17.6640625" style="42" customWidth="1"/>
    <col min="11640" max="11640" width="18.5546875" style="42" customWidth="1"/>
    <col min="11641" max="11645" width="17.6640625" style="42" customWidth="1"/>
    <col min="11646" max="11646" width="18.5546875" style="42" customWidth="1"/>
    <col min="11647" max="11657" width="17.6640625" style="42" customWidth="1"/>
    <col min="11658" max="11658" width="18.5546875" style="42" customWidth="1"/>
    <col min="11659" max="11664" width="17.6640625" style="42" customWidth="1"/>
    <col min="11665" max="11665" width="18.5546875" style="42" customWidth="1"/>
    <col min="11666" max="11776" width="8.88671875" style="42"/>
    <col min="11777" max="11777" width="44.44140625" style="42" customWidth="1"/>
    <col min="11778" max="11802" width="0" style="42" hidden="1" customWidth="1"/>
    <col min="11803" max="11803" width="19.33203125" style="42" bestFit="1" customWidth="1"/>
    <col min="11804" max="11804" width="20" style="42" bestFit="1" customWidth="1"/>
    <col min="11805" max="11805" width="2.33203125" style="42" customWidth="1"/>
    <col min="11806" max="11806" width="20.5546875" style="42" customWidth="1"/>
    <col min="11807" max="11807" width="19.109375" style="42" customWidth="1"/>
    <col min="11808" max="11809" width="17.44140625" style="42" customWidth="1"/>
    <col min="11810" max="11810" width="1.6640625" style="42" customWidth="1"/>
    <col min="11811" max="11811" width="15.44140625" style="42" customWidth="1"/>
    <col min="11812" max="11813" width="12.5546875" style="42" customWidth="1"/>
    <col min="11814" max="11816" width="17.6640625" style="42" customWidth="1"/>
    <col min="11817" max="11818" width="18.88671875" style="42" customWidth="1"/>
    <col min="11819" max="11824" width="17.6640625" style="42" customWidth="1"/>
    <col min="11825" max="11825" width="17.88671875" style="42" customWidth="1"/>
    <col min="11826" max="11829" width="17.6640625" style="42" customWidth="1"/>
    <col min="11830" max="11830" width="18.88671875" style="42" customWidth="1"/>
    <col min="11831" max="11840" width="17.6640625" style="42" customWidth="1"/>
    <col min="11841" max="11841" width="19.109375" style="42" customWidth="1"/>
    <col min="11842" max="11842" width="18.88671875" style="42" customWidth="1"/>
    <col min="11843" max="11853" width="17.6640625" style="42" customWidth="1"/>
    <col min="11854" max="11854" width="19.109375" style="42" customWidth="1"/>
    <col min="11855" max="11863" width="17.6640625" style="42" customWidth="1"/>
    <col min="11864" max="11864" width="18.5546875" style="42" customWidth="1"/>
    <col min="11865" max="11866" width="18.88671875" style="42" customWidth="1"/>
    <col min="11867" max="11867" width="19.109375" style="42" customWidth="1"/>
    <col min="11868" max="11876" width="17.6640625" style="42" customWidth="1"/>
    <col min="11877" max="11877" width="18.5546875" style="42" customWidth="1"/>
    <col min="11878" max="11878" width="18.88671875" style="42" customWidth="1"/>
    <col min="11879" max="11888" width="17.6640625" style="42" customWidth="1"/>
    <col min="11889" max="11889" width="18.5546875" style="42" customWidth="1"/>
    <col min="11890" max="11890" width="19.109375" style="42" customWidth="1"/>
    <col min="11891" max="11895" width="17.6640625" style="42" customWidth="1"/>
    <col min="11896" max="11896" width="18.5546875" style="42" customWidth="1"/>
    <col min="11897" max="11901" width="17.6640625" style="42" customWidth="1"/>
    <col min="11902" max="11902" width="18.5546875" style="42" customWidth="1"/>
    <col min="11903" max="11913" width="17.6640625" style="42" customWidth="1"/>
    <col min="11914" max="11914" width="18.5546875" style="42" customWidth="1"/>
    <col min="11915" max="11920" width="17.6640625" style="42" customWidth="1"/>
    <col min="11921" max="11921" width="18.5546875" style="42" customWidth="1"/>
    <col min="11922" max="12032" width="8.88671875" style="42"/>
    <col min="12033" max="12033" width="44.44140625" style="42" customWidth="1"/>
    <col min="12034" max="12058" width="0" style="42" hidden="1" customWidth="1"/>
    <col min="12059" max="12059" width="19.33203125" style="42" bestFit="1" customWidth="1"/>
    <col min="12060" max="12060" width="20" style="42" bestFit="1" customWidth="1"/>
    <col min="12061" max="12061" width="2.33203125" style="42" customWidth="1"/>
    <col min="12062" max="12062" width="20.5546875" style="42" customWidth="1"/>
    <col min="12063" max="12063" width="19.109375" style="42" customWidth="1"/>
    <col min="12064" max="12065" width="17.44140625" style="42" customWidth="1"/>
    <col min="12066" max="12066" width="1.6640625" style="42" customWidth="1"/>
    <col min="12067" max="12067" width="15.44140625" style="42" customWidth="1"/>
    <col min="12068" max="12069" width="12.5546875" style="42" customWidth="1"/>
    <col min="12070" max="12072" width="17.6640625" style="42" customWidth="1"/>
    <col min="12073" max="12074" width="18.88671875" style="42" customWidth="1"/>
    <col min="12075" max="12080" width="17.6640625" style="42" customWidth="1"/>
    <col min="12081" max="12081" width="17.88671875" style="42" customWidth="1"/>
    <col min="12082" max="12085" width="17.6640625" style="42" customWidth="1"/>
    <col min="12086" max="12086" width="18.88671875" style="42" customWidth="1"/>
    <col min="12087" max="12096" width="17.6640625" style="42" customWidth="1"/>
    <col min="12097" max="12097" width="19.109375" style="42" customWidth="1"/>
    <col min="12098" max="12098" width="18.88671875" style="42" customWidth="1"/>
    <col min="12099" max="12109" width="17.6640625" style="42" customWidth="1"/>
    <col min="12110" max="12110" width="19.109375" style="42" customWidth="1"/>
    <col min="12111" max="12119" width="17.6640625" style="42" customWidth="1"/>
    <col min="12120" max="12120" width="18.5546875" style="42" customWidth="1"/>
    <col min="12121" max="12122" width="18.88671875" style="42" customWidth="1"/>
    <col min="12123" max="12123" width="19.109375" style="42" customWidth="1"/>
    <col min="12124" max="12132" width="17.6640625" style="42" customWidth="1"/>
    <col min="12133" max="12133" width="18.5546875" style="42" customWidth="1"/>
    <col min="12134" max="12134" width="18.88671875" style="42" customWidth="1"/>
    <col min="12135" max="12144" width="17.6640625" style="42" customWidth="1"/>
    <col min="12145" max="12145" width="18.5546875" style="42" customWidth="1"/>
    <col min="12146" max="12146" width="19.109375" style="42" customWidth="1"/>
    <col min="12147" max="12151" width="17.6640625" style="42" customWidth="1"/>
    <col min="12152" max="12152" width="18.5546875" style="42" customWidth="1"/>
    <col min="12153" max="12157" width="17.6640625" style="42" customWidth="1"/>
    <col min="12158" max="12158" width="18.5546875" style="42" customWidth="1"/>
    <col min="12159" max="12169" width="17.6640625" style="42" customWidth="1"/>
    <col min="12170" max="12170" width="18.5546875" style="42" customWidth="1"/>
    <col min="12171" max="12176" width="17.6640625" style="42" customWidth="1"/>
    <col min="12177" max="12177" width="18.5546875" style="42" customWidth="1"/>
    <col min="12178" max="12288" width="8.88671875" style="42"/>
    <col min="12289" max="12289" width="44.44140625" style="42" customWidth="1"/>
    <col min="12290" max="12314" width="0" style="42" hidden="1" customWidth="1"/>
    <col min="12315" max="12315" width="19.33203125" style="42" bestFit="1" customWidth="1"/>
    <col min="12316" max="12316" width="20" style="42" bestFit="1" customWidth="1"/>
    <col min="12317" max="12317" width="2.33203125" style="42" customWidth="1"/>
    <col min="12318" max="12318" width="20.5546875" style="42" customWidth="1"/>
    <col min="12319" max="12319" width="19.109375" style="42" customWidth="1"/>
    <col min="12320" max="12321" width="17.44140625" style="42" customWidth="1"/>
    <col min="12322" max="12322" width="1.6640625" style="42" customWidth="1"/>
    <col min="12323" max="12323" width="15.44140625" style="42" customWidth="1"/>
    <col min="12324" max="12325" width="12.5546875" style="42" customWidth="1"/>
    <col min="12326" max="12328" width="17.6640625" style="42" customWidth="1"/>
    <col min="12329" max="12330" width="18.88671875" style="42" customWidth="1"/>
    <col min="12331" max="12336" width="17.6640625" style="42" customWidth="1"/>
    <col min="12337" max="12337" width="17.88671875" style="42" customWidth="1"/>
    <col min="12338" max="12341" width="17.6640625" style="42" customWidth="1"/>
    <col min="12342" max="12342" width="18.88671875" style="42" customWidth="1"/>
    <col min="12343" max="12352" width="17.6640625" style="42" customWidth="1"/>
    <col min="12353" max="12353" width="19.109375" style="42" customWidth="1"/>
    <col min="12354" max="12354" width="18.88671875" style="42" customWidth="1"/>
    <col min="12355" max="12365" width="17.6640625" style="42" customWidth="1"/>
    <col min="12366" max="12366" width="19.109375" style="42" customWidth="1"/>
    <col min="12367" max="12375" width="17.6640625" style="42" customWidth="1"/>
    <col min="12376" max="12376" width="18.5546875" style="42" customWidth="1"/>
    <col min="12377" max="12378" width="18.88671875" style="42" customWidth="1"/>
    <col min="12379" max="12379" width="19.109375" style="42" customWidth="1"/>
    <col min="12380" max="12388" width="17.6640625" style="42" customWidth="1"/>
    <col min="12389" max="12389" width="18.5546875" style="42" customWidth="1"/>
    <col min="12390" max="12390" width="18.88671875" style="42" customWidth="1"/>
    <col min="12391" max="12400" width="17.6640625" style="42" customWidth="1"/>
    <col min="12401" max="12401" width="18.5546875" style="42" customWidth="1"/>
    <col min="12402" max="12402" width="19.109375" style="42" customWidth="1"/>
    <col min="12403" max="12407" width="17.6640625" style="42" customWidth="1"/>
    <col min="12408" max="12408" width="18.5546875" style="42" customWidth="1"/>
    <col min="12409" max="12413" width="17.6640625" style="42" customWidth="1"/>
    <col min="12414" max="12414" width="18.5546875" style="42" customWidth="1"/>
    <col min="12415" max="12425" width="17.6640625" style="42" customWidth="1"/>
    <col min="12426" max="12426" width="18.5546875" style="42" customWidth="1"/>
    <col min="12427" max="12432" width="17.6640625" style="42" customWidth="1"/>
    <col min="12433" max="12433" width="18.5546875" style="42" customWidth="1"/>
    <col min="12434" max="12544" width="8.88671875" style="42"/>
    <col min="12545" max="12545" width="44.44140625" style="42" customWidth="1"/>
    <col min="12546" max="12570" width="0" style="42" hidden="1" customWidth="1"/>
    <col min="12571" max="12571" width="19.33203125" style="42" bestFit="1" customWidth="1"/>
    <col min="12572" max="12572" width="20" style="42" bestFit="1" customWidth="1"/>
    <col min="12573" max="12573" width="2.33203125" style="42" customWidth="1"/>
    <col min="12574" max="12574" width="20.5546875" style="42" customWidth="1"/>
    <col min="12575" max="12575" width="19.109375" style="42" customWidth="1"/>
    <col min="12576" max="12577" width="17.44140625" style="42" customWidth="1"/>
    <col min="12578" max="12578" width="1.6640625" style="42" customWidth="1"/>
    <col min="12579" max="12579" width="15.44140625" style="42" customWidth="1"/>
    <col min="12580" max="12581" width="12.5546875" style="42" customWidth="1"/>
    <col min="12582" max="12584" width="17.6640625" style="42" customWidth="1"/>
    <col min="12585" max="12586" width="18.88671875" style="42" customWidth="1"/>
    <col min="12587" max="12592" width="17.6640625" style="42" customWidth="1"/>
    <col min="12593" max="12593" width="17.88671875" style="42" customWidth="1"/>
    <col min="12594" max="12597" width="17.6640625" style="42" customWidth="1"/>
    <col min="12598" max="12598" width="18.88671875" style="42" customWidth="1"/>
    <col min="12599" max="12608" width="17.6640625" style="42" customWidth="1"/>
    <col min="12609" max="12609" width="19.109375" style="42" customWidth="1"/>
    <col min="12610" max="12610" width="18.88671875" style="42" customWidth="1"/>
    <col min="12611" max="12621" width="17.6640625" style="42" customWidth="1"/>
    <col min="12622" max="12622" width="19.109375" style="42" customWidth="1"/>
    <col min="12623" max="12631" width="17.6640625" style="42" customWidth="1"/>
    <col min="12632" max="12632" width="18.5546875" style="42" customWidth="1"/>
    <col min="12633" max="12634" width="18.88671875" style="42" customWidth="1"/>
    <col min="12635" max="12635" width="19.109375" style="42" customWidth="1"/>
    <col min="12636" max="12644" width="17.6640625" style="42" customWidth="1"/>
    <col min="12645" max="12645" width="18.5546875" style="42" customWidth="1"/>
    <col min="12646" max="12646" width="18.88671875" style="42" customWidth="1"/>
    <col min="12647" max="12656" width="17.6640625" style="42" customWidth="1"/>
    <col min="12657" max="12657" width="18.5546875" style="42" customWidth="1"/>
    <col min="12658" max="12658" width="19.109375" style="42" customWidth="1"/>
    <col min="12659" max="12663" width="17.6640625" style="42" customWidth="1"/>
    <col min="12664" max="12664" width="18.5546875" style="42" customWidth="1"/>
    <col min="12665" max="12669" width="17.6640625" style="42" customWidth="1"/>
    <col min="12670" max="12670" width="18.5546875" style="42" customWidth="1"/>
    <col min="12671" max="12681" width="17.6640625" style="42" customWidth="1"/>
    <col min="12682" max="12682" width="18.5546875" style="42" customWidth="1"/>
    <col min="12683" max="12688" width="17.6640625" style="42" customWidth="1"/>
    <col min="12689" max="12689" width="18.5546875" style="42" customWidth="1"/>
    <col min="12690" max="12800" width="8.88671875" style="42"/>
    <col min="12801" max="12801" width="44.44140625" style="42" customWidth="1"/>
    <col min="12802" max="12826" width="0" style="42" hidden="1" customWidth="1"/>
    <col min="12827" max="12827" width="19.33203125" style="42" bestFit="1" customWidth="1"/>
    <col min="12828" max="12828" width="20" style="42" bestFit="1" customWidth="1"/>
    <col min="12829" max="12829" width="2.33203125" style="42" customWidth="1"/>
    <col min="12830" max="12830" width="20.5546875" style="42" customWidth="1"/>
    <col min="12831" max="12831" width="19.109375" style="42" customWidth="1"/>
    <col min="12832" max="12833" width="17.44140625" style="42" customWidth="1"/>
    <col min="12834" max="12834" width="1.6640625" style="42" customWidth="1"/>
    <col min="12835" max="12835" width="15.44140625" style="42" customWidth="1"/>
    <col min="12836" max="12837" width="12.5546875" style="42" customWidth="1"/>
    <col min="12838" max="12840" width="17.6640625" style="42" customWidth="1"/>
    <col min="12841" max="12842" width="18.88671875" style="42" customWidth="1"/>
    <col min="12843" max="12848" width="17.6640625" style="42" customWidth="1"/>
    <col min="12849" max="12849" width="17.88671875" style="42" customWidth="1"/>
    <col min="12850" max="12853" width="17.6640625" style="42" customWidth="1"/>
    <col min="12854" max="12854" width="18.88671875" style="42" customWidth="1"/>
    <col min="12855" max="12864" width="17.6640625" style="42" customWidth="1"/>
    <col min="12865" max="12865" width="19.109375" style="42" customWidth="1"/>
    <col min="12866" max="12866" width="18.88671875" style="42" customWidth="1"/>
    <col min="12867" max="12877" width="17.6640625" style="42" customWidth="1"/>
    <col min="12878" max="12878" width="19.109375" style="42" customWidth="1"/>
    <col min="12879" max="12887" width="17.6640625" style="42" customWidth="1"/>
    <col min="12888" max="12888" width="18.5546875" style="42" customWidth="1"/>
    <col min="12889" max="12890" width="18.88671875" style="42" customWidth="1"/>
    <col min="12891" max="12891" width="19.109375" style="42" customWidth="1"/>
    <col min="12892" max="12900" width="17.6640625" style="42" customWidth="1"/>
    <col min="12901" max="12901" width="18.5546875" style="42" customWidth="1"/>
    <col min="12902" max="12902" width="18.88671875" style="42" customWidth="1"/>
    <col min="12903" max="12912" width="17.6640625" style="42" customWidth="1"/>
    <col min="12913" max="12913" width="18.5546875" style="42" customWidth="1"/>
    <col min="12914" max="12914" width="19.109375" style="42" customWidth="1"/>
    <col min="12915" max="12919" width="17.6640625" style="42" customWidth="1"/>
    <col min="12920" max="12920" width="18.5546875" style="42" customWidth="1"/>
    <col min="12921" max="12925" width="17.6640625" style="42" customWidth="1"/>
    <col min="12926" max="12926" width="18.5546875" style="42" customWidth="1"/>
    <col min="12927" max="12937" width="17.6640625" style="42" customWidth="1"/>
    <col min="12938" max="12938" width="18.5546875" style="42" customWidth="1"/>
    <col min="12939" max="12944" width="17.6640625" style="42" customWidth="1"/>
    <col min="12945" max="12945" width="18.5546875" style="42" customWidth="1"/>
    <col min="12946" max="13056" width="8.88671875" style="42"/>
    <col min="13057" max="13057" width="44.44140625" style="42" customWidth="1"/>
    <col min="13058" max="13082" width="0" style="42" hidden="1" customWidth="1"/>
    <col min="13083" max="13083" width="19.33203125" style="42" bestFit="1" customWidth="1"/>
    <col min="13084" max="13084" width="20" style="42" bestFit="1" customWidth="1"/>
    <col min="13085" max="13085" width="2.33203125" style="42" customWidth="1"/>
    <col min="13086" max="13086" width="20.5546875" style="42" customWidth="1"/>
    <col min="13087" max="13087" width="19.109375" style="42" customWidth="1"/>
    <col min="13088" max="13089" width="17.44140625" style="42" customWidth="1"/>
    <col min="13090" max="13090" width="1.6640625" style="42" customWidth="1"/>
    <col min="13091" max="13091" width="15.44140625" style="42" customWidth="1"/>
    <col min="13092" max="13093" width="12.5546875" style="42" customWidth="1"/>
    <col min="13094" max="13096" width="17.6640625" style="42" customWidth="1"/>
    <col min="13097" max="13098" width="18.88671875" style="42" customWidth="1"/>
    <col min="13099" max="13104" width="17.6640625" style="42" customWidth="1"/>
    <col min="13105" max="13105" width="17.88671875" style="42" customWidth="1"/>
    <col min="13106" max="13109" width="17.6640625" style="42" customWidth="1"/>
    <col min="13110" max="13110" width="18.88671875" style="42" customWidth="1"/>
    <col min="13111" max="13120" width="17.6640625" style="42" customWidth="1"/>
    <col min="13121" max="13121" width="19.109375" style="42" customWidth="1"/>
    <col min="13122" max="13122" width="18.88671875" style="42" customWidth="1"/>
    <col min="13123" max="13133" width="17.6640625" style="42" customWidth="1"/>
    <col min="13134" max="13134" width="19.109375" style="42" customWidth="1"/>
    <col min="13135" max="13143" width="17.6640625" style="42" customWidth="1"/>
    <col min="13144" max="13144" width="18.5546875" style="42" customWidth="1"/>
    <col min="13145" max="13146" width="18.88671875" style="42" customWidth="1"/>
    <col min="13147" max="13147" width="19.109375" style="42" customWidth="1"/>
    <col min="13148" max="13156" width="17.6640625" style="42" customWidth="1"/>
    <col min="13157" max="13157" width="18.5546875" style="42" customWidth="1"/>
    <col min="13158" max="13158" width="18.88671875" style="42" customWidth="1"/>
    <col min="13159" max="13168" width="17.6640625" style="42" customWidth="1"/>
    <col min="13169" max="13169" width="18.5546875" style="42" customWidth="1"/>
    <col min="13170" max="13170" width="19.109375" style="42" customWidth="1"/>
    <col min="13171" max="13175" width="17.6640625" style="42" customWidth="1"/>
    <col min="13176" max="13176" width="18.5546875" style="42" customWidth="1"/>
    <col min="13177" max="13181" width="17.6640625" style="42" customWidth="1"/>
    <col min="13182" max="13182" width="18.5546875" style="42" customWidth="1"/>
    <col min="13183" max="13193" width="17.6640625" style="42" customWidth="1"/>
    <col min="13194" max="13194" width="18.5546875" style="42" customWidth="1"/>
    <col min="13195" max="13200" width="17.6640625" style="42" customWidth="1"/>
    <col min="13201" max="13201" width="18.5546875" style="42" customWidth="1"/>
    <col min="13202" max="13312" width="8.88671875" style="42"/>
    <col min="13313" max="13313" width="44.44140625" style="42" customWidth="1"/>
    <col min="13314" max="13338" width="0" style="42" hidden="1" customWidth="1"/>
    <col min="13339" max="13339" width="19.33203125" style="42" bestFit="1" customWidth="1"/>
    <col min="13340" max="13340" width="20" style="42" bestFit="1" customWidth="1"/>
    <col min="13341" max="13341" width="2.33203125" style="42" customWidth="1"/>
    <col min="13342" max="13342" width="20.5546875" style="42" customWidth="1"/>
    <col min="13343" max="13343" width="19.109375" style="42" customWidth="1"/>
    <col min="13344" max="13345" width="17.44140625" style="42" customWidth="1"/>
    <col min="13346" max="13346" width="1.6640625" style="42" customWidth="1"/>
    <col min="13347" max="13347" width="15.44140625" style="42" customWidth="1"/>
    <col min="13348" max="13349" width="12.5546875" style="42" customWidth="1"/>
    <col min="13350" max="13352" width="17.6640625" style="42" customWidth="1"/>
    <col min="13353" max="13354" width="18.88671875" style="42" customWidth="1"/>
    <col min="13355" max="13360" width="17.6640625" style="42" customWidth="1"/>
    <col min="13361" max="13361" width="17.88671875" style="42" customWidth="1"/>
    <col min="13362" max="13365" width="17.6640625" style="42" customWidth="1"/>
    <col min="13366" max="13366" width="18.88671875" style="42" customWidth="1"/>
    <col min="13367" max="13376" width="17.6640625" style="42" customWidth="1"/>
    <col min="13377" max="13377" width="19.109375" style="42" customWidth="1"/>
    <col min="13378" max="13378" width="18.88671875" style="42" customWidth="1"/>
    <col min="13379" max="13389" width="17.6640625" style="42" customWidth="1"/>
    <col min="13390" max="13390" width="19.109375" style="42" customWidth="1"/>
    <col min="13391" max="13399" width="17.6640625" style="42" customWidth="1"/>
    <col min="13400" max="13400" width="18.5546875" style="42" customWidth="1"/>
    <col min="13401" max="13402" width="18.88671875" style="42" customWidth="1"/>
    <col min="13403" max="13403" width="19.109375" style="42" customWidth="1"/>
    <col min="13404" max="13412" width="17.6640625" style="42" customWidth="1"/>
    <col min="13413" max="13413" width="18.5546875" style="42" customWidth="1"/>
    <col min="13414" max="13414" width="18.88671875" style="42" customWidth="1"/>
    <col min="13415" max="13424" width="17.6640625" style="42" customWidth="1"/>
    <col min="13425" max="13425" width="18.5546875" style="42" customWidth="1"/>
    <col min="13426" max="13426" width="19.109375" style="42" customWidth="1"/>
    <col min="13427" max="13431" width="17.6640625" style="42" customWidth="1"/>
    <col min="13432" max="13432" width="18.5546875" style="42" customWidth="1"/>
    <col min="13433" max="13437" width="17.6640625" style="42" customWidth="1"/>
    <col min="13438" max="13438" width="18.5546875" style="42" customWidth="1"/>
    <col min="13439" max="13449" width="17.6640625" style="42" customWidth="1"/>
    <col min="13450" max="13450" width="18.5546875" style="42" customWidth="1"/>
    <col min="13451" max="13456" width="17.6640625" style="42" customWidth="1"/>
    <col min="13457" max="13457" width="18.5546875" style="42" customWidth="1"/>
    <col min="13458" max="13568" width="8.88671875" style="42"/>
    <col min="13569" max="13569" width="44.44140625" style="42" customWidth="1"/>
    <col min="13570" max="13594" width="0" style="42" hidden="1" customWidth="1"/>
    <col min="13595" max="13595" width="19.33203125" style="42" bestFit="1" customWidth="1"/>
    <col min="13596" max="13596" width="20" style="42" bestFit="1" customWidth="1"/>
    <col min="13597" max="13597" width="2.33203125" style="42" customWidth="1"/>
    <col min="13598" max="13598" width="20.5546875" style="42" customWidth="1"/>
    <col min="13599" max="13599" width="19.109375" style="42" customWidth="1"/>
    <col min="13600" max="13601" width="17.44140625" style="42" customWidth="1"/>
    <col min="13602" max="13602" width="1.6640625" style="42" customWidth="1"/>
    <col min="13603" max="13603" width="15.44140625" style="42" customWidth="1"/>
    <col min="13604" max="13605" width="12.5546875" style="42" customWidth="1"/>
    <col min="13606" max="13608" width="17.6640625" style="42" customWidth="1"/>
    <col min="13609" max="13610" width="18.88671875" style="42" customWidth="1"/>
    <col min="13611" max="13616" width="17.6640625" style="42" customWidth="1"/>
    <col min="13617" max="13617" width="17.88671875" style="42" customWidth="1"/>
    <col min="13618" max="13621" width="17.6640625" style="42" customWidth="1"/>
    <col min="13622" max="13622" width="18.88671875" style="42" customWidth="1"/>
    <col min="13623" max="13632" width="17.6640625" style="42" customWidth="1"/>
    <col min="13633" max="13633" width="19.109375" style="42" customWidth="1"/>
    <col min="13634" max="13634" width="18.88671875" style="42" customWidth="1"/>
    <col min="13635" max="13645" width="17.6640625" style="42" customWidth="1"/>
    <col min="13646" max="13646" width="19.109375" style="42" customWidth="1"/>
    <col min="13647" max="13655" width="17.6640625" style="42" customWidth="1"/>
    <col min="13656" max="13656" width="18.5546875" style="42" customWidth="1"/>
    <col min="13657" max="13658" width="18.88671875" style="42" customWidth="1"/>
    <col min="13659" max="13659" width="19.109375" style="42" customWidth="1"/>
    <col min="13660" max="13668" width="17.6640625" style="42" customWidth="1"/>
    <col min="13669" max="13669" width="18.5546875" style="42" customWidth="1"/>
    <col min="13670" max="13670" width="18.88671875" style="42" customWidth="1"/>
    <col min="13671" max="13680" width="17.6640625" style="42" customWidth="1"/>
    <col min="13681" max="13681" width="18.5546875" style="42" customWidth="1"/>
    <col min="13682" max="13682" width="19.109375" style="42" customWidth="1"/>
    <col min="13683" max="13687" width="17.6640625" style="42" customWidth="1"/>
    <col min="13688" max="13688" width="18.5546875" style="42" customWidth="1"/>
    <col min="13689" max="13693" width="17.6640625" style="42" customWidth="1"/>
    <col min="13694" max="13694" width="18.5546875" style="42" customWidth="1"/>
    <col min="13695" max="13705" width="17.6640625" style="42" customWidth="1"/>
    <col min="13706" max="13706" width="18.5546875" style="42" customWidth="1"/>
    <col min="13707" max="13712" width="17.6640625" style="42" customWidth="1"/>
    <col min="13713" max="13713" width="18.5546875" style="42" customWidth="1"/>
    <col min="13714" max="13824" width="8.88671875" style="42"/>
    <col min="13825" max="13825" width="44.44140625" style="42" customWidth="1"/>
    <col min="13826" max="13850" width="0" style="42" hidden="1" customWidth="1"/>
    <col min="13851" max="13851" width="19.33203125" style="42" bestFit="1" customWidth="1"/>
    <col min="13852" max="13852" width="20" style="42" bestFit="1" customWidth="1"/>
    <col min="13853" max="13853" width="2.33203125" style="42" customWidth="1"/>
    <col min="13854" max="13854" width="20.5546875" style="42" customWidth="1"/>
    <col min="13855" max="13855" width="19.109375" style="42" customWidth="1"/>
    <col min="13856" max="13857" width="17.44140625" style="42" customWidth="1"/>
    <col min="13858" max="13858" width="1.6640625" style="42" customWidth="1"/>
    <col min="13859" max="13859" width="15.44140625" style="42" customWidth="1"/>
    <col min="13860" max="13861" width="12.5546875" style="42" customWidth="1"/>
    <col min="13862" max="13864" width="17.6640625" style="42" customWidth="1"/>
    <col min="13865" max="13866" width="18.88671875" style="42" customWidth="1"/>
    <col min="13867" max="13872" width="17.6640625" style="42" customWidth="1"/>
    <col min="13873" max="13873" width="17.88671875" style="42" customWidth="1"/>
    <col min="13874" max="13877" width="17.6640625" style="42" customWidth="1"/>
    <col min="13878" max="13878" width="18.88671875" style="42" customWidth="1"/>
    <col min="13879" max="13888" width="17.6640625" style="42" customWidth="1"/>
    <col min="13889" max="13889" width="19.109375" style="42" customWidth="1"/>
    <col min="13890" max="13890" width="18.88671875" style="42" customWidth="1"/>
    <col min="13891" max="13901" width="17.6640625" style="42" customWidth="1"/>
    <col min="13902" max="13902" width="19.109375" style="42" customWidth="1"/>
    <col min="13903" max="13911" width="17.6640625" style="42" customWidth="1"/>
    <col min="13912" max="13912" width="18.5546875" style="42" customWidth="1"/>
    <col min="13913" max="13914" width="18.88671875" style="42" customWidth="1"/>
    <col min="13915" max="13915" width="19.109375" style="42" customWidth="1"/>
    <col min="13916" max="13924" width="17.6640625" style="42" customWidth="1"/>
    <col min="13925" max="13925" width="18.5546875" style="42" customWidth="1"/>
    <col min="13926" max="13926" width="18.88671875" style="42" customWidth="1"/>
    <col min="13927" max="13936" width="17.6640625" style="42" customWidth="1"/>
    <col min="13937" max="13937" width="18.5546875" style="42" customWidth="1"/>
    <col min="13938" max="13938" width="19.109375" style="42" customWidth="1"/>
    <col min="13939" max="13943" width="17.6640625" style="42" customWidth="1"/>
    <col min="13944" max="13944" width="18.5546875" style="42" customWidth="1"/>
    <col min="13945" max="13949" width="17.6640625" style="42" customWidth="1"/>
    <col min="13950" max="13950" width="18.5546875" style="42" customWidth="1"/>
    <col min="13951" max="13961" width="17.6640625" style="42" customWidth="1"/>
    <col min="13962" max="13962" width="18.5546875" style="42" customWidth="1"/>
    <col min="13963" max="13968" width="17.6640625" style="42" customWidth="1"/>
    <col min="13969" max="13969" width="18.5546875" style="42" customWidth="1"/>
    <col min="13970" max="14080" width="8.88671875" style="42"/>
    <col min="14081" max="14081" width="44.44140625" style="42" customWidth="1"/>
    <col min="14082" max="14106" width="0" style="42" hidden="1" customWidth="1"/>
    <col min="14107" max="14107" width="19.33203125" style="42" bestFit="1" customWidth="1"/>
    <col min="14108" max="14108" width="20" style="42" bestFit="1" customWidth="1"/>
    <col min="14109" max="14109" width="2.33203125" style="42" customWidth="1"/>
    <col min="14110" max="14110" width="20.5546875" style="42" customWidth="1"/>
    <col min="14111" max="14111" width="19.109375" style="42" customWidth="1"/>
    <col min="14112" max="14113" width="17.44140625" style="42" customWidth="1"/>
    <col min="14114" max="14114" width="1.6640625" style="42" customWidth="1"/>
    <col min="14115" max="14115" width="15.44140625" style="42" customWidth="1"/>
    <col min="14116" max="14117" width="12.5546875" style="42" customWidth="1"/>
    <col min="14118" max="14120" width="17.6640625" style="42" customWidth="1"/>
    <col min="14121" max="14122" width="18.88671875" style="42" customWidth="1"/>
    <col min="14123" max="14128" width="17.6640625" style="42" customWidth="1"/>
    <col min="14129" max="14129" width="17.88671875" style="42" customWidth="1"/>
    <col min="14130" max="14133" width="17.6640625" style="42" customWidth="1"/>
    <col min="14134" max="14134" width="18.88671875" style="42" customWidth="1"/>
    <col min="14135" max="14144" width="17.6640625" style="42" customWidth="1"/>
    <col min="14145" max="14145" width="19.109375" style="42" customWidth="1"/>
    <col min="14146" max="14146" width="18.88671875" style="42" customWidth="1"/>
    <col min="14147" max="14157" width="17.6640625" style="42" customWidth="1"/>
    <col min="14158" max="14158" width="19.109375" style="42" customWidth="1"/>
    <col min="14159" max="14167" width="17.6640625" style="42" customWidth="1"/>
    <col min="14168" max="14168" width="18.5546875" style="42" customWidth="1"/>
    <col min="14169" max="14170" width="18.88671875" style="42" customWidth="1"/>
    <col min="14171" max="14171" width="19.109375" style="42" customWidth="1"/>
    <col min="14172" max="14180" width="17.6640625" style="42" customWidth="1"/>
    <col min="14181" max="14181" width="18.5546875" style="42" customWidth="1"/>
    <col min="14182" max="14182" width="18.88671875" style="42" customWidth="1"/>
    <col min="14183" max="14192" width="17.6640625" style="42" customWidth="1"/>
    <col min="14193" max="14193" width="18.5546875" style="42" customWidth="1"/>
    <col min="14194" max="14194" width="19.109375" style="42" customWidth="1"/>
    <col min="14195" max="14199" width="17.6640625" style="42" customWidth="1"/>
    <col min="14200" max="14200" width="18.5546875" style="42" customWidth="1"/>
    <col min="14201" max="14205" width="17.6640625" style="42" customWidth="1"/>
    <col min="14206" max="14206" width="18.5546875" style="42" customWidth="1"/>
    <col min="14207" max="14217" width="17.6640625" style="42" customWidth="1"/>
    <col min="14218" max="14218" width="18.5546875" style="42" customWidth="1"/>
    <col min="14219" max="14224" width="17.6640625" style="42" customWidth="1"/>
    <col min="14225" max="14225" width="18.5546875" style="42" customWidth="1"/>
    <col min="14226" max="14336" width="8.88671875" style="42"/>
    <col min="14337" max="14337" width="44.44140625" style="42" customWidth="1"/>
    <col min="14338" max="14362" width="0" style="42" hidden="1" customWidth="1"/>
    <col min="14363" max="14363" width="19.33203125" style="42" bestFit="1" customWidth="1"/>
    <col min="14364" max="14364" width="20" style="42" bestFit="1" customWidth="1"/>
    <col min="14365" max="14365" width="2.33203125" style="42" customWidth="1"/>
    <col min="14366" max="14366" width="20.5546875" style="42" customWidth="1"/>
    <col min="14367" max="14367" width="19.109375" style="42" customWidth="1"/>
    <col min="14368" max="14369" width="17.44140625" style="42" customWidth="1"/>
    <col min="14370" max="14370" width="1.6640625" style="42" customWidth="1"/>
    <col min="14371" max="14371" width="15.44140625" style="42" customWidth="1"/>
    <col min="14372" max="14373" width="12.5546875" style="42" customWidth="1"/>
    <col min="14374" max="14376" width="17.6640625" style="42" customWidth="1"/>
    <col min="14377" max="14378" width="18.88671875" style="42" customWidth="1"/>
    <col min="14379" max="14384" width="17.6640625" style="42" customWidth="1"/>
    <col min="14385" max="14385" width="17.88671875" style="42" customWidth="1"/>
    <col min="14386" max="14389" width="17.6640625" style="42" customWidth="1"/>
    <col min="14390" max="14390" width="18.88671875" style="42" customWidth="1"/>
    <col min="14391" max="14400" width="17.6640625" style="42" customWidth="1"/>
    <col min="14401" max="14401" width="19.109375" style="42" customWidth="1"/>
    <col min="14402" max="14402" width="18.88671875" style="42" customWidth="1"/>
    <col min="14403" max="14413" width="17.6640625" style="42" customWidth="1"/>
    <col min="14414" max="14414" width="19.109375" style="42" customWidth="1"/>
    <col min="14415" max="14423" width="17.6640625" style="42" customWidth="1"/>
    <col min="14424" max="14424" width="18.5546875" style="42" customWidth="1"/>
    <col min="14425" max="14426" width="18.88671875" style="42" customWidth="1"/>
    <col min="14427" max="14427" width="19.109375" style="42" customWidth="1"/>
    <col min="14428" max="14436" width="17.6640625" style="42" customWidth="1"/>
    <col min="14437" max="14437" width="18.5546875" style="42" customWidth="1"/>
    <col min="14438" max="14438" width="18.88671875" style="42" customWidth="1"/>
    <col min="14439" max="14448" width="17.6640625" style="42" customWidth="1"/>
    <col min="14449" max="14449" width="18.5546875" style="42" customWidth="1"/>
    <col min="14450" max="14450" width="19.109375" style="42" customWidth="1"/>
    <col min="14451" max="14455" width="17.6640625" style="42" customWidth="1"/>
    <col min="14456" max="14456" width="18.5546875" style="42" customWidth="1"/>
    <col min="14457" max="14461" width="17.6640625" style="42" customWidth="1"/>
    <col min="14462" max="14462" width="18.5546875" style="42" customWidth="1"/>
    <col min="14463" max="14473" width="17.6640625" style="42" customWidth="1"/>
    <col min="14474" max="14474" width="18.5546875" style="42" customWidth="1"/>
    <col min="14475" max="14480" width="17.6640625" style="42" customWidth="1"/>
    <col min="14481" max="14481" width="18.5546875" style="42" customWidth="1"/>
    <col min="14482" max="14592" width="8.88671875" style="42"/>
    <col min="14593" max="14593" width="44.44140625" style="42" customWidth="1"/>
    <col min="14594" max="14618" width="0" style="42" hidden="1" customWidth="1"/>
    <col min="14619" max="14619" width="19.33203125" style="42" bestFit="1" customWidth="1"/>
    <col min="14620" max="14620" width="20" style="42" bestFit="1" customWidth="1"/>
    <col min="14621" max="14621" width="2.33203125" style="42" customWidth="1"/>
    <col min="14622" max="14622" width="20.5546875" style="42" customWidth="1"/>
    <col min="14623" max="14623" width="19.109375" style="42" customWidth="1"/>
    <col min="14624" max="14625" width="17.44140625" style="42" customWidth="1"/>
    <col min="14626" max="14626" width="1.6640625" style="42" customWidth="1"/>
    <col min="14627" max="14627" width="15.44140625" style="42" customWidth="1"/>
    <col min="14628" max="14629" width="12.5546875" style="42" customWidth="1"/>
    <col min="14630" max="14632" width="17.6640625" style="42" customWidth="1"/>
    <col min="14633" max="14634" width="18.88671875" style="42" customWidth="1"/>
    <col min="14635" max="14640" width="17.6640625" style="42" customWidth="1"/>
    <col min="14641" max="14641" width="17.88671875" style="42" customWidth="1"/>
    <col min="14642" max="14645" width="17.6640625" style="42" customWidth="1"/>
    <col min="14646" max="14646" width="18.88671875" style="42" customWidth="1"/>
    <col min="14647" max="14656" width="17.6640625" style="42" customWidth="1"/>
    <col min="14657" max="14657" width="19.109375" style="42" customWidth="1"/>
    <col min="14658" max="14658" width="18.88671875" style="42" customWidth="1"/>
    <col min="14659" max="14669" width="17.6640625" style="42" customWidth="1"/>
    <col min="14670" max="14670" width="19.109375" style="42" customWidth="1"/>
    <col min="14671" max="14679" width="17.6640625" style="42" customWidth="1"/>
    <col min="14680" max="14680" width="18.5546875" style="42" customWidth="1"/>
    <col min="14681" max="14682" width="18.88671875" style="42" customWidth="1"/>
    <col min="14683" max="14683" width="19.109375" style="42" customWidth="1"/>
    <col min="14684" max="14692" width="17.6640625" style="42" customWidth="1"/>
    <col min="14693" max="14693" width="18.5546875" style="42" customWidth="1"/>
    <col min="14694" max="14694" width="18.88671875" style="42" customWidth="1"/>
    <col min="14695" max="14704" width="17.6640625" style="42" customWidth="1"/>
    <col min="14705" max="14705" width="18.5546875" style="42" customWidth="1"/>
    <col min="14706" max="14706" width="19.109375" style="42" customWidth="1"/>
    <col min="14707" max="14711" width="17.6640625" style="42" customWidth="1"/>
    <col min="14712" max="14712" width="18.5546875" style="42" customWidth="1"/>
    <col min="14713" max="14717" width="17.6640625" style="42" customWidth="1"/>
    <col min="14718" max="14718" width="18.5546875" style="42" customWidth="1"/>
    <col min="14719" max="14729" width="17.6640625" style="42" customWidth="1"/>
    <col min="14730" max="14730" width="18.5546875" style="42" customWidth="1"/>
    <col min="14731" max="14736" width="17.6640625" style="42" customWidth="1"/>
    <col min="14737" max="14737" width="18.5546875" style="42" customWidth="1"/>
    <col min="14738" max="14848" width="8.88671875" style="42"/>
    <col min="14849" max="14849" width="44.44140625" style="42" customWidth="1"/>
    <col min="14850" max="14874" width="0" style="42" hidden="1" customWidth="1"/>
    <col min="14875" max="14875" width="19.33203125" style="42" bestFit="1" customWidth="1"/>
    <col min="14876" max="14876" width="20" style="42" bestFit="1" customWidth="1"/>
    <col min="14877" max="14877" width="2.33203125" style="42" customWidth="1"/>
    <col min="14878" max="14878" width="20.5546875" style="42" customWidth="1"/>
    <col min="14879" max="14879" width="19.109375" style="42" customWidth="1"/>
    <col min="14880" max="14881" width="17.44140625" style="42" customWidth="1"/>
    <col min="14882" max="14882" width="1.6640625" style="42" customWidth="1"/>
    <col min="14883" max="14883" width="15.44140625" style="42" customWidth="1"/>
    <col min="14884" max="14885" width="12.5546875" style="42" customWidth="1"/>
    <col min="14886" max="14888" width="17.6640625" style="42" customWidth="1"/>
    <col min="14889" max="14890" width="18.88671875" style="42" customWidth="1"/>
    <col min="14891" max="14896" width="17.6640625" style="42" customWidth="1"/>
    <col min="14897" max="14897" width="17.88671875" style="42" customWidth="1"/>
    <col min="14898" max="14901" width="17.6640625" style="42" customWidth="1"/>
    <col min="14902" max="14902" width="18.88671875" style="42" customWidth="1"/>
    <col min="14903" max="14912" width="17.6640625" style="42" customWidth="1"/>
    <col min="14913" max="14913" width="19.109375" style="42" customWidth="1"/>
    <col min="14914" max="14914" width="18.88671875" style="42" customWidth="1"/>
    <col min="14915" max="14925" width="17.6640625" style="42" customWidth="1"/>
    <col min="14926" max="14926" width="19.109375" style="42" customWidth="1"/>
    <col min="14927" max="14935" width="17.6640625" style="42" customWidth="1"/>
    <col min="14936" max="14936" width="18.5546875" style="42" customWidth="1"/>
    <col min="14937" max="14938" width="18.88671875" style="42" customWidth="1"/>
    <col min="14939" max="14939" width="19.109375" style="42" customWidth="1"/>
    <col min="14940" max="14948" width="17.6640625" style="42" customWidth="1"/>
    <col min="14949" max="14949" width="18.5546875" style="42" customWidth="1"/>
    <col min="14950" max="14950" width="18.88671875" style="42" customWidth="1"/>
    <col min="14951" max="14960" width="17.6640625" style="42" customWidth="1"/>
    <col min="14961" max="14961" width="18.5546875" style="42" customWidth="1"/>
    <col min="14962" max="14962" width="19.109375" style="42" customWidth="1"/>
    <col min="14963" max="14967" width="17.6640625" style="42" customWidth="1"/>
    <col min="14968" max="14968" width="18.5546875" style="42" customWidth="1"/>
    <col min="14969" max="14973" width="17.6640625" style="42" customWidth="1"/>
    <col min="14974" max="14974" width="18.5546875" style="42" customWidth="1"/>
    <col min="14975" max="14985" width="17.6640625" style="42" customWidth="1"/>
    <col min="14986" max="14986" width="18.5546875" style="42" customWidth="1"/>
    <col min="14987" max="14992" width="17.6640625" style="42" customWidth="1"/>
    <col min="14993" max="14993" width="18.5546875" style="42" customWidth="1"/>
    <col min="14994" max="15104" width="8.88671875" style="42"/>
    <col min="15105" max="15105" width="44.44140625" style="42" customWidth="1"/>
    <col min="15106" max="15130" width="0" style="42" hidden="1" customWidth="1"/>
    <col min="15131" max="15131" width="19.33203125" style="42" bestFit="1" customWidth="1"/>
    <col min="15132" max="15132" width="20" style="42" bestFit="1" customWidth="1"/>
    <col min="15133" max="15133" width="2.33203125" style="42" customWidth="1"/>
    <col min="15134" max="15134" width="20.5546875" style="42" customWidth="1"/>
    <col min="15135" max="15135" width="19.109375" style="42" customWidth="1"/>
    <col min="15136" max="15137" width="17.44140625" style="42" customWidth="1"/>
    <col min="15138" max="15138" width="1.6640625" style="42" customWidth="1"/>
    <col min="15139" max="15139" width="15.44140625" style="42" customWidth="1"/>
    <col min="15140" max="15141" width="12.5546875" style="42" customWidth="1"/>
    <col min="15142" max="15144" width="17.6640625" style="42" customWidth="1"/>
    <col min="15145" max="15146" width="18.88671875" style="42" customWidth="1"/>
    <col min="15147" max="15152" width="17.6640625" style="42" customWidth="1"/>
    <col min="15153" max="15153" width="17.88671875" style="42" customWidth="1"/>
    <col min="15154" max="15157" width="17.6640625" style="42" customWidth="1"/>
    <col min="15158" max="15158" width="18.88671875" style="42" customWidth="1"/>
    <col min="15159" max="15168" width="17.6640625" style="42" customWidth="1"/>
    <col min="15169" max="15169" width="19.109375" style="42" customWidth="1"/>
    <col min="15170" max="15170" width="18.88671875" style="42" customWidth="1"/>
    <col min="15171" max="15181" width="17.6640625" style="42" customWidth="1"/>
    <col min="15182" max="15182" width="19.109375" style="42" customWidth="1"/>
    <col min="15183" max="15191" width="17.6640625" style="42" customWidth="1"/>
    <col min="15192" max="15192" width="18.5546875" style="42" customWidth="1"/>
    <col min="15193" max="15194" width="18.88671875" style="42" customWidth="1"/>
    <col min="15195" max="15195" width="19.109375" style="42" customWidth="1"/>
    <col min="15196" max="15204" width="17.6640625" style="42" customWidth="1"/>
    <col min="15205" max="15205" width="18.5546875" style="42" customWidth="1"/>
    <col min="15206" max="15206" width="18.88671875" style="42" customWidth="1"/>
    <col min="15207" max="15216" width="17.6640625" style="42" customWidth="1"/>
    <col min="15217" max="15217" width="18.5546875" style="42" customWidth="1"/>
    <col min="15218" max="15218" width="19.109375" style="42" customWidth="1"/>
    <col min="15219" max="15223" width="17.6640625" style="42" customWidth="1"/>
    <col min="15224" max="15224" width="18.5546875" style="42" customWidth="1"/>
    <col min="15225" max="15229" width="17.6640625" style="42" customWidth="1"/>
    <col min="15230" max="15230" width="18.5546875" style="42" customWidth="1"/>
    <col min="15231" max="15241" width="17.6640625" style="42" customWidth="1"/>
    <col min="15242" max="15242" width="18.5546875" style="42" customWidth="1"/>
    <col min="15243" max="15248" width="17.6640625" style="42" customWidth="1"/>
    <col min="15249" max="15249" width="18.5546875" style="42" customWidth="1"/>
    <col min="15250" max="15360" width="8.88671875" style="42"/>
    <col min="15361" max="15361" width="44.44140625" style="42" customWidth="1"/>
    <col min="15362" max="15386" width="0" style="42" hidden="1" customWidth="1"/>
    <col min="15387" max="15387" width="19.33203125" style="42" bestFit="1" customWidth="1"/>
    <col min="15388" max="15388" width="20" style="42" bestFit="1" customWidth="1"/>
    <col min="15389" max="15389" width="2.33203125" style="42" customWidth="1"/>
    <col min="15390" max="15390" width="20.5546875" style="42" customWidth="1"/>
    <col min="15391" max="15391" width="19.109375" style="42" customWidth="1"/>
    <col min="15392" max="15393" width="17.44140625" style="42" customWidth="1"/>
    <col min="15394" max="15394" width="1.6640625" style="42" customWidth="1"/>
    <col min="15395" max="15395" width="15.44140625" style="42" customWidth="1"/>
    <col min="15396" max="15397" width="12.5546875" style="42" customWidth="1"/>
    <col min="15398" max="15400" width="17.6640625" style="42" customWidth="1"/>
    <col min="15401" max="15402" width="18.88671875" style="42" customWidth="1"/>
    <col min="15403" max="15408" width="17.6640625" style="42" customWidth="1"/>
    <col min="15409" max="15409" width="17.88671875" style="42" customWidth="1"/>
    <col min="15410" max="15413" width="17.6640625" style="42" customWidth="1"/>
    <col min="15414" max="15414" width="18.88671875" style="42" customWidth="1"/>
    <col min="15415" max="15424" width="17.6640625" style="42" customWidth="1"/>
    <col min="15425" max="15425" width="19.109375" style="42" customWidth="1"/>
    <col min="15426" max="15426" width="18.88671875" style="42" customWidth="1"/>
    <col min="15427" max="15437" width="17.6640625" style="42" customWidth="1"/>
    <col min="15438" max="15438" width="19.109375" style="42" customWidth="1"/>
    <col min="15439" max="15447" width="17.6640625" style="42" customWidth="1"/>
    <col min="15448" max="15448" width="18.5546875" style="42" customWidth="1"/>
    <col min="15449" max="15450" width="18.88671875" style="42" customWidth="1"/>
    <col min="15451" max="15451" width="19.109375" style="42" customWidth="1"/>
    <col min="15452" max="15460" width="17.6640625" style="42" customWidth="1"/>
    <col min="15461" max="15461" width="18.5546875" style="42" customWidth="1"/>
    <col min="15462" max="15462" width="18.88671875" style="42" customWidth="1"/>
    <col min="15463" max="15472" width="17.6640625" style="42" customWidth="1"/>
    <col min="15473" max="15473" width="18.5546875" style="42" customWidth="1"/>
    <col min="15474" max="15474" width="19.109375" style="42" customWidth="1"/>
    <col min="15475" max="15479" width="17.6640625" style="42" customWidth="1"/>
    <col min="15480" max="15480" width="18.5546875" style="42" customWidth="1"/>
    <col min="15481" max="15485" width="17.6640625" style="42" customWidth="1"/>
    <col min="15486" max="15486" width="18.5546875" style="42" customWidth="1"/>
    <col min="15487" max="15497" width="17.6640625" style="42" customWidth="1"/>
    <col min="15498" max="15498" width="18.5546875" style="42" customWidth="1"/>
    <col min="15499" max="15504" width="17.6640625" style="42" customWidth="1"/>
    <col min="15505" max="15505" width="18.5546875" style="42" customWidth="1"/>
    <col min="15506" max="15616" width="8.88671875" style="42"/>
    <col min="15617" max="15617" width="44.44140625" style="42" customWidth="1"/>
    <col min="15618" max="15642" width="0" style="42" hidden="1" customWidth="1"/>
    <col min="15643" max="15643" width="19.33203125" style="42" bestFit="1" customWidth="1"/>
    <col min="15644" max="15644" width="20" style="42" bestFit="1" customWidth="1"/>
    <col min="15645" max="15645" width="2.33203125" style="42" customWidth="1"/>
    <col min="15646" max="15646" width="20.5546875" style="42" customWidth="1"/>
    <col min="15647" max="15647" width="19.109375" style="42" customWidth="1"/>
    <col min="15648" max="15649" width="17.44140625" style="42" customWidth="1"/>
    <col min="15650" max="15650" width="1.6640625" style="42" customWidth="1"/>
    <col min="15651" max="15651" width="15.44140625" style="42" customWidth="1"/>
    <col min="15652" max="15653" width="12.5546875" style="42" customWidth="1"/>
    <col min="15654" max="15656" width="17.6640625" style="42" customWidth="1"/>
    <col min="15657" max="15658" width="18.88671875" style="42" customWidth="1"/>
    <col min="15659" max="15664" width="17.6640625" style="42" customWidth="1"/>
    <col min="15665" max="15665" width="17.88671875" style="42" customWidth="1"/>
    <col min="15666" max="15669" width="17.6640625" style="42" customWidth="1"/>
    <col min="15670" max="15670" width="18.88671875" style="42" customWidth="1"/>
    <col min="15671" max="15680" width="17.6640625" style="42" customWidth="1"/>
    <col min="15681" max="15681" width="19.109375" style="42" customWidth="1"/>
    <col min="15682" max="15682" width="18.88671875" style="42" customWidth="1"/>
    <col min="15683" max="15693" width="17.6640625" style="42" customWidth="1"/>
    <col min="15694" max="15694" width="19.109375" style="42" customWidth="1"/>
    <col min="15695" max="15703" width="17.6640625" style="42" customWidth="1"/>
    <col min="15704" max="15704" width="18.5546875" style="42" customWidth="1"/>
    <col min="15705" max="15706" width="18.88671875" style="42" customWidth="1"/>
    <col min="15707" max="15707" width="19.109375" style="42" customWidth="1"/>
    <col min="15708" max="15716" width="17.6640625" style="42" customWidth="1"/>
    <col min="15717" max="15717" width="18.5546875" style="42" customWidth="1"/>
    <col min="15718" max="15718" width="18.88671875" style="42" customWidth="1"/>
    <col min="15719" max="15728" width="17.6640625" style="42" customWidth="1"/>
    <col min="15729" max="15729" width="18.5546875" style="42" customWidth="1"/>
    <col min="15730" max="15730" width="19.109375" style="42" customWidth="1"/>
    <col min="15731" max="15735" width="17.6640625" style="42" customWidth="1"/>
    <col min="15736" max="15736" width="18.5546875" style="42" customWidth="1"/>
    <col min="15737" max="15741" width="17.6640625" style="42" customWidth="1"/>
    <col min="15742" max="15742" width="18.5546875" style="42" customWidth="1"/>
    <col min="15743" max="15753" width="17.6640625" style="42" customWidth="1"/>
    <col min="15754" max="15754" width="18.5546875" style="42" customWidth="1"/>
    <col min="15755" max="15760" width="17.6640625" style="42" customWidth="1"/>
    <col min="15761" max="15761" width="18.5546875" style="42" customWidth="1"/>
    <col min="15762" max="15872" width="8.88671875" style="42"/>
    <col min="15873" max="15873" width="44.44140625" style="42" customWidth="1"/>
    <col min="15874" max="15898" width="0" style="42" hidden="1" customWidth="1"/>
    <col min="15899" max="15899" width="19.33203125" style="42" bestFit="1" customWidth="1"/>
    <col min="15900" max="15900" width="20" style="42" bestFit="1" customWidth="1"/>
    <col min="15901" max="15901" width="2.33203125" style="42" customWidth="1"/>
    <col min="15902" max="15902" width="20.5546875" style="42" customWidth="1"/>
    <col min="15903" max="15903" width="19.109375" style="42" customWidth="1"/>
    <col min="15904" max="15905" width="17.44140625" style="42" customWidth="1"/>
    <col min="15906" max="15906" width="1.6640625" style="42" customWidth="1"/>
    <col min="15907" max="15907" width="15.44140625" style="42" customWidth="1"/>
    <col min="15908" max="15909" width="12.5546875" style="42" customWidth="1"/>
    <col min="15910" max="15912" width="17.6640625" style="42" customWidth="1"/>
    <col min="15913" max="15914" width="18.88671875" style="42" customWidth="1"/>
    <col min="15915" max="15920" width="17.6640625" style="42" customWidth="1"/>
    <col min="15921" max="15921" width="17.88671875" style="42" customWidth="1"/>
    <col min="15922" max="15925" width="17.6640625" style="42" customWidth="1"/>
    <col min="15926" max="15926" width="18.88671875" style="42" customWidth="1"/>
    <col min="15927" max="15936" width="17.6640625" style="42" customWidth="1"/>
    <col min="15937" max="15937" width="19.109375" style="42" customWidth="1"/>
    <col min="15938" max="15938" width="18.88671875" style="42" customWidth="1"/>
    <col min="15939" max="15949" width="17.6640625" style="42" customWidth="1"/>
    <col min="15950" max="15950" width="19.109375" style="42" customWidth="1"/>
    <col min="15951" max="15959" width="17.6640625" style="42" customWidth="1"/>
    <col min="15960" max="15960" width="18.5546875" style="42" customWidth="1"/>
    <col min="15961" max="15962" width="18.88671875" style="42" customWidth="1"/>
    <col min="15963" max="15963" width="19.109375" style="42" customWidth="1"/>
    <col min="15964" max="15972" width="17.6640625" style="42" customWidth="1"/>
    <col min="15973" max="15973" width="18.5546875" style="42" customWidth="1"/>
    <col min="15974" max="15974" width="18.88671875" style="42" customWidth="1"/>
    <col min="15975" max="15984" width="17.6640625" style="42" customWidth="1"/>
    <col min="15985" max="15985" width="18.5546875" style="42" customWidth="1"/>
    <col min="15986" max="15986" width="19.109375" style="42" customWidth="1"/>
    <col min="15987" max="15991" width="17.6640625" style="42" customWidth="1"/>
    <col min="15992" max="15992" width="18.5546875" style="42" customWidth="1"/>
    <col min="15993" max="15997" width="17.6640625" style="42" customWidth="1"/>
    <col min="15998" max="15998" width="18.5546875" style="42" customWidth="1"/>
    <col min="15999" max="16009" width="17.6640625" style="42" customWidth="1"/>
    <col min="16010" max="16010" width="18.5546875" style="42" customWidth="1"/>
    <col min="16011" max="16016" width="17.6640625" style="42" customWidth="1"/>
    <col min="16017" max="16017" width="18.5546875" style="42" customWidth="1"/>
    <col min="16018" max="16128" width="8.88671875" style="42"/>
    <col min="16129" max="16129" width="44.44140625" style="42" customWidth="1"/>
    <col min="16130" max="16154" width="0" style="42" hidden="1" customWidth="1"/>
    <col min="16155" max="16155" width="19.33203125" style="42" bestFit="1" customWidth="1"/>
    <col min="16156" max="16156" width="20" style="42" bestFit="1" customWidth="1"/>
    <col min="16157" max="16157" width="2.33203125" style="42" customWidth="1"/>
    <col min="16158" max="16158" width="20.5546875" style="42" customWidth="1"/>
    <col min="16159" max="16159" width="19.109375" style="42" customWidth="1"/>
    <col min="16160" max="16161" width="17.44140625" style="42" customWidth="1"/>
    <col min="16162" max="16162" width="1.6640625" style="42" customWidth="1"/>
    <col min="16163" max="16163" width="15.44140625" style="42" customWidth="1"/>
    <col min="16164" max="16165" width="12.5546875" style="42" customWidth="1"/>
    <col min="16166" max="16168" width="17.6640625" style="42" customWidth="1"/>
    <col min="16169" max="16170" width="18.88671875" style="42" customWidth="1"/>
    <col min="16171" max="16176" width="17.6640625" style="42" customWidth="1"/>
    <col min="16177" max="16177" width="17.88671875" style="42" customWidth="1"/>
    <col min="16178" max="16181" width="17.6640625" style="42" customWidth="1"/>
    <col min="16182" max="16182" width="18.88671875" style="42" customWidth="1"/>
    <col min="16183" max="16192" width="17.6640625" style="42" customWidth="1"/>
    <col min="16193" max="16193" width="19.109375" style="42" customWidth="1"/>
    <col min="16194" max="16194" width="18.88671875" style="42" customWidth="1"/>
    <col min="16195" max="16205" width="17.6640625" style="42" customWidth="1"/>
    <col min="16206" max="16206" width="19.109375" style="42" customWidth="1"/>
    <col min="16207" max="16215" width="17.6640625" style="42" customWidth="1"/>
    <col min="16216" max="16216" width="18.5546875" style="42" customWidth="1"/>
    <col min="16217" max="16218" width="18.88671875" style="42" customWidth="1"/>
    <col min="16219" max="16219" width="19.109375" style="42" customWidth="1"/>
    <col min="16220" max="16228" width="17.6640625" style="42" customWidth="1"/>
    <col min="16229" max="16229" width="18.5546875" style="42" customWidth="1"/>
    <col min="16230" max="16230" width="18.88671875" style="42" customWidth="1"/>
    <col min="16231" max="16240" width="17.6640625" style="42" customWidth="1"/>
    <col min="16241" max="16241" width="18.5546875" style="42" customWidth="1"/>
    <col min="16242" max="16242" width="19.109375" style="42" customWidth="1"/>
    <col min="16243" max="16247" width="17.6640625" style="42" customWidth="1"/>
    <col min="16248" max="16248" width="18.5546875" style="42" customWidth="1"/>
    <col min="16249" max="16253" width="17.6640625" style="42" customWidth="1"/>
    <col min="16254" max="16254" width="18.5546875" style="42" customWidth="1"/>
    <col min="16255" max="16265" width="17.6640625" style="42" customWidth="1"/>
    <col min="16266" max="16266" width="18.5546875" style="42" customWidth="1"/>
    <col min="16267" max="16272" width="17.6640625" style="42" customWidth="1"/>
    <col min="16273" max="16273" width="18.5546875" style="42" customWidth="1"/>
    <col min="16274" max="16384" width="8.88671875" style="42"/>
  </cols>
  <sheetData>
    <row r="1" spans="1:255" ht="12.75" customHeight="1" x14ac:dyDescent="0.25">
      <c r="A1" s="38" t="s">
        <v>0</v>
      </c>
      <c r="B1" s="39"/>
      <c r="C1" s="39"/>
      <c r="AC1" s="41"/>
      <c r="AD1" s="41"/>
      <c r="AE1" s="41"/>
      <c r="AF1" s="41"/>
      <c r="AG1" s="41"/>
      <c r="AH1" s="41"/>
      <c r="AI1" s="41"/>
      <c r="AJ1" s="41"/>
      <c r="AK1" s="41"/>
      <c r="AV1" s="39"/>
      <c r="AW1" s="39"/>
      <c r="BI1" s="38"/>
      <c r="BT1" s="43"/>
      <c r="BU1" s="44"/>
      <c r="CG1" s="43"/>
      <c r="CH1" s="41"/>
      <c r="CI1" s="41"/>
      <c r="CJ1" s="41"/>
      <c r="CK1" s="40"/>
      <c r="CL1" s="41"/>
      <c r="CM1" s="41"/>
      <c r="CN1" s="41"/>
      <c r="CO1" s="41"/>
      <c r="CP1" s="41"/>
      <c r="CQ1" s="41"/>
      <c r="CR1" s="38"/>
      <c r="CS1" s="38"/>
      <c r="CT1" s="41"/>
      <c r="CU1" s="41"/>
      <c r="CV1" s="41"/>
      <c r="CW1" s="41"/>
      <c r="CX1" s="40"/>
      <c r="CY1" s="41"/>
      <c r="CZ1" s="41"/>
      <c r="DA1" s="41"/>
      <c r="DB1" s="41"/>
      <c r="DC1" s="41"/>
      <c r="DD1" s="41"/>
      <c r="DE1" s="38"/>
      <c r="DF1" s="41"/>
      <c r="DG1" s="41"/>
      <c r="DH1" s="41"/>
      <c r="DI1" s="41"/>
      <c r="DJ1" s="40"/>
      <c r="DK1" s="41"/>
      <c r="DL1" s="41"/>
      <c r="DM1" s="41"/>
      <c r="DN1" s="41"/>
      <c r="DO1" s="41"/>
      <c r="DP1" s="41"/>
      <c r="DQ1" s="38"/>
      <c r="DR1" s="41"/>
      <c r="DS1" s="41"/>
      <c r="DT1" s="41"/>
      <c r="DU1" s="41"/>
      <c r="DV1" s="41"/>
      <c r="DW1" s="40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0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0"/>
      <c r="IS1" s="40"/>
      <c r="IT1" s="41"/>
      <c r="IU1" s="41"/>
    </row>
    <row r="2" spans="1:255" ht="12.75" customHeight="1" x14ac:dyDescent="0.25">
      <c r="A2" s="38"/>
      <c r="B2" s="39"/>
      <c r="C2" s="39"/>
      <c r="AC2" s="41"/>
      <c r="AD2" s="41" t="s">
        <v>235</v>
      </c>
      <c r="AE2" s="41" t="s">
        <v>235</v>
      </c>
      <c r="AF2" s="41" t="s">
        <v>235</v>
      </c>
      <c r="AG2" s="41" t="s">
        <v>234</v>
      </c>
      <c r="AH2" s="41"/>
      <c r="AI2" s="41" t="s">
        <v>235</v>
      </c>
      <c r="AJ2" s="41"/>
      <c r="AK2" s="41"/>
      <c r="AV2" s="39"/>
      <c r="AW2" s="39"/>
      <c r="BI2" s="38"/>
      <c r="BT2" s="43"/>
      <c r="BU2" s="44"/>
      <c r="CG2" s="43"/>
      <c r="CH2" s="41"/>
      <c r="CI2" s="41"/>
      <c r="CJ2" s="41"/>
      <c r="CK2" s="40"/>
      <c r="CL2" s="41"/>
      <c r="CM2" s="41"/>
      <c r="CN2" s="41"/>
      <c r="CO2" s="41"/>
      <c r="CP2" s="41"/>
      <c r="CQ2" s="41"/>
      <c r="CR2" s="38"/>
      <c r="CS2" s="38"/>
      <c r="CT2" s="41"/>
      <c r="CU2" s="41"/>
      <c r="CV2" s="41"/>
      <c r="CW2" s="41"/>
      <c r="CX2" s="40"/>
      <c r="CY2" s="41"/>
      <c r="CZ2" s="41"/>
      <c r="DA2" s="41"/>
      <c r="DB2" s="41"/>
      <c r="DC2" s="41"/>
      <c r="DD2" s="41"/>
      <c r="DE2" s="38"/>
      <c r="DF2" s="41"/>
      <c r="DG2" s="41"/>
      <c r="DH2" s="41"/>
      <c r="DI2" s="41"/>
      <c r="DJ2" s="40"/>
      <c r="DK2" s="41"/>
      <c r="DL2" s="41"/>
      <c r="DM2" s="41"/>
      <c r="DN2" s="41"/>
      <c r="DO2" s="41"/>
      <c r="DP2" s="41"/>
      <c r="DQ2" s="38"/>
      <c r="DR2" s="41"/>
      <c r="DS2" s="41"/>
      <c r="DT2" s="41"/>
      <c r="DU2" s="41"/>
      <c r="DV2" s="41"/>
      <c r="DW2" s="40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0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0"/>
      <c r="IS2" s="40"/>
      <c r="IT2" s="41"/>
      <c r="IU2" s="41"/>
    </row>
    <row r="3" spans="1:255" ht="15.6" x14ac:dyDescent="0.3">
      <c r="A3" s="41"/>
      <c r="B3" s="40" t="s">
        <v>1</v>
      </c>
      <c r="AA3" s="45" t="s">
        <v>2</v>
      </c>
      <c r="AB3" s="46" t="s">
        <v>3</v>
      </c>
      <c r="AC3" s="40" t="s">
        <v>4</v>
      </c>
      <c r="AD3" s="41" t="s">
        <v>5</v>
      </c>
      <c r="AE3" s="41"/>
      <c r="AF3" s="41"/>
      <c r="AG3" s="41" t="s">
        <v>6</v>
      </c>
      <c r="AH3" s="41" t="s">
        <v>4</v>
      </c>
      <c r="AI3" s="41" t="s">
        <v>7</v>
      </c>
      <c r="AJ3" s="41"/>
      <c r="AK3" s="41"/>
      <c r="AZ3" s="41"/>
      <c r="BB3" s="41"/>
      <c r="BC3" s="41"/>
      <c r="BE3" s="41"/>
      <c r="BG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7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8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 t="s">
        <v>1</v>
      </c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</row>
    <row r="4" spans="1:255" x14ac:dyDescent="0.25">
      <c r="A4" s="41" t="s">
        <v>8</v>
      </c>
      <c r="B4" s="40" t="s">
        <v>9</v>
      </c>
      <c r="C4" s="40" t="s">
        <v>10</v>
      </c>
      <c r="D4" s="49" t="s">
        <v>11</v>
      </c>
      <c r="E4" s="49" t="s">
        <v>12</v>
      </c>
      <c r="F4" s="49" t="s">
        <v>13</v>
      </c>
      <c r="G4" s="49" t="s">
        <v>14</v>
      </c>
      <c r="H4" s="49" t="s">
        <v>15</v>
      </c>
      <c r="I4" s="49" t="s">
        <v>16</v>
      </c>
      <c r="J4" s="49" t="s">
        <v>17</v>
      </c>
      <c r="K4" s="49" t="s">
        <v>18</v>
      </c>
      <c r="L4" s="49" t="s">
        <v>19</v>
      </c>
      <c r="M4" s="49" t="s">
        <v>20</v>
      </c>
      <c r="N4" s="49" t="s">
        <v>21</v>
      </c>
      <c r="O4" s="49" t="s">
        <v>22</v>
      </c>
      <c r="P4" s="49" t="s">
        <v>23</v>
      </c>
      <c r="Q4" s="49" t="s">
        <v>24</v>
      </c>
      <c r="R4" s="49" t="s">
        <v>25</v>
      </c>
      <c r="S4" s="49" t="s">
        <v>26</v>
      </c>
      <c r="T4" s="49" t="s">
        <v>27</v>
      </c>
      <c r="U4" s="49" t="s">
        <v>28</v>
      </c>
      <c r="V4" s="49" t="s">
        <v>29</v>
      </c>
      <c r="W4" s="49" t="s">
        <v>30</v>
      </c>
      <c r="X4" s="49" t="s">
        <v>31</v>
      </c>
      <c r="Y4" s="49" t="s">
        <v>32</v>
      </c>
      <c r="Z4" s="49" t="s">
        <v>33</v>
      </c>
      <c r="AA4" s="50" t="s">
        <v>242</v>
      </c>
      <c r="AB4" s="51" t="s">
        <v>242</v>
      </c>
      <c r="AC4" s="40" t="s">
        <v>4</v>
      </c>
      <c r="AD4" s="52" t="s">
        <v>34</v>
      </c>
      <c r="AE4" s="52" t="s">
        <v>35</v>
      </c>
      <c r="AF4" s="52" t="s">
        <v>36</v>
      </c>
      <c r="AG4" s="52" t="s">
        <v>37</v>
      </c>
      <c r="AH4" s="53" t="s">
        <v>4</v>
      </c>
      <c r="AI4" s="53" t="s">
        <v>38</v>
      </c>
      <c r="AJ4" s="53" t="s">
        <v>39</v>
      </c>
      <c r="AK4" s="53"/>
      <c r="AL4" s="49" t="s">
        <v>40</v>
      </c>
      <c r="AM4" s="49" t="s">
        <v>41</v>
      </c>
      <c r="AN4" s="49" t="s">
        <v>42</v>
      </c>
      <c r="AO4" s="49" t="s">
        <v>43</v>
      </c>
      <c r="AP4" s="49" t="s">
        <v>44</v>
      </c>
      <c r="AQ4" s="49" t="s">
        <v>45</v>
      </c>
      <c r="AR4" s="49" t="s">
        <v>46</v>
      </c>
      <c r="AS4" s="49" t="s">
        <v>47</v>
      </c>
      <c r="AT4" s="49" t="s">
        <v>48</v>
      </c>
      <c r="AU4" s="49" t="s">
        <v>49</v>
      </c>
      <c r="AV4" s="49" t="s">
        <v>50</v>
      </c>
      <c r="AW4" s="40" t="s">
        <v>51</v>
      </c>
      <c r="AX4" s="53" t="s">
        <v>52</v>
      </c>
      <c r="AY4" s="53" t="s">
        <v>53</v>
      </c>
      <c r="AZ4" s="53" t="s">
        <v>54</v>
      </c>
      <c r="BA4" s="53" t="s">
        <v>55</v>
      </c>
      <c r="BB4" s="49" t="s">
        <v>56</v>
      </c>
      <c r="BC4" s="53" t="s">
        <v>57</v>
      </c>
      <c r="BD4" s="53" t="s">
        <v>58</v>
      </c>
      <c r="BE4" s="53" t="s">
        <v>59</v>
      </c>
      <c r="BF4" s="53" t="s">
        <v>60</v>
      </c>
      <c r="BG4" s="53" t="s">
        <v>61</v>
      </c>
      <c r="BH4" s="53" t="s">
        <v>62</v>
      </c>
      <c r="BI4" s="47" t="s">
        <v>63</v>
      </c>
      <c r="BJ4" s="53" t="s">
        <v>64</v>
      </c>
      <c r="BK4" s="53" t="s">
        <v>65</v>
      </c>
      <c r="BL4" s="53" t="s">
        <v>66</v>
      </c>
      <c r="BM4" s="53" t="s">
        <v>67</v>
      </c>
      <c r="BN4" s="49" t="s">
        <v>68</v>
      </c>
      <c r="BO4" s="53" t="s">
        <v>69</v>
      </c>
      <c r="BP4" s="53" t="s">
        <v>70</v>
      </c>
      <c r="BQ4" s="53" t="s">
        <v>71</v>
      </c>
      <c r="BR4" s="53" t="s">
        <v>72</v>
      </c>
      <c r="BS4" s="53" t="s">
        <v>73</v>
      </c>
      <c r="BT4" s="53" t="s">
        <v>74</v>
      </c>
      <c r="BU4" s="47" t="s">
        <v>75</v>
      </c>
      <c r="BV4" s="53" t="s">
        <v>76</v>
      </c>
      <c r="BW4" s="53" t="s">
        <v>77</v>
      </c>
      <c r="BX4" s="53" t="s">
        <v>78</v>
      </c>
      <c r="BY4" s="53" t="s">
        <v>79</v>
      </c>
      <c r="BZ4" s="49" t="s">
        <v>80</v>
      </c>
      <c r="CA4" s="53" t="s">
        <v>81</v>
      </c>
      <c r="CB4" s="53" t="s">
        <v>82</v>
      </c>
      <c r="CC4" s="53" t="s">
        <v>83</v>
      </c>
      <c r="CD4" s="53" t="s">
        <v>84</v>
      </c>
      <c r="CE4" s="53" t="s">
        <v>85</v>
      </c>
      <c r="CF4" s="53" t="s">
        <v>86</v>
      </c>
      <c r="CG4" s="48" t="s">
        <v>87</v>
      </c>
      <c r="CH4" s="53" t="s">
        <v>88</v>
      </c>
      <c r="CI4" s="53" t="s">
        <v>89</v>
      </c>
      <c r="CJ4" s="53" t="s">
        <v>90</v>
      </c>
      <c r="CK4" s="53" t="s">
        <v>91</v>
      </c>
      <c r="CL4" s="49" t="s">
        <v>92</v>
      </c>
      <c r="CM4" s="53" t="s">
        <v>93</v>
      </c>
      <c r="CN4" s="53" t="s">
        <v>94</v>
      </c>
      <c r="CO4" s="53" t="s">
        <v>95</v>
      </c>
      <c r="CP4" s="53" t="s">
        <v>96</v>
      </c>
      <c r="CQ4" s="53" t="s">
        <v>97</v>
      </c>
      <c r="CR4" s="53" t="s">
        <v>98</v>
      </c>
      <c r="CS4" s="41" t="s">
        <v>99</v>
      </c>
      <c r="CT4" s="53" t="s">
        <v>100</v>
      </c>
      <c r="CU4" s="53" t="s">
        <v>101</v>
      </c>
      <c r="CV4" s="53" t="s">
        <v>102</v>
      </c>
      <c r="CW4" s="53" t="s">
        <v>103</v>
      </c>
      <c r="CX4" s="53" t="s">
        <v>104</v>
      </c>
      <c r="CY4" s="49" t="s">
        <v>105</v>
      </c>
      <c r="CZ4" s="53" t="s">
        <v>106</v>
      </c>
      <c r="DA4" s="53" t="s">
        <v>107</v>
      </c>
      <c r="DB4" s="53" t="s">
        <v>108</v>
      </c>
      <c r="DC4" s="53" t="s">
        <v>109</v>
      </c>
      <c r="DD4" s="53" t="s">
        <v>110</v>
      </c>
      <c r="DE4" s="53" t="s">
        <v>111</v>
      </c>
      <c r="DF4" s="53" t="s">
        <v>112</v>
      </c>
      <c r="DG4" s="53" t="s">
        <v>113</v>
      </c>
      <c r="DH4" s="53" t="s">
        <v>114</v>
      </c>
      <c r="DI4" s="53" t="s">
        <v>115</v>
      </c>
      <c r="DJ4" s="53" t="s">
        <v>116</v>
      </c>
      <c r="DK4" s="49" t="s">
        <v>117</v>
      </c>
      <c r="DL4" s="53" t="s">
        <v>118</v>
      </c>
      <c r="DM4" s="53" t="s">
        <v>119</v>
      </c>
      <c r="DN4" s="53" t="s">
        <v>120</v>
      </c>
      <c r="DO4" s="53" t="s">
        <v>121</v>
      </c>
      <c r="DP4" s="53" t="s">
        <v>122</v>
      </c>
      <c r="DQ4" s="53" t="s">
        <v>123</v>
      </c>
      <c r="DR4" s="53" t="s">
        <v>124</v>
      </c>
      <c r="DS4" s="53" t="s">
        <v>125</v>
      </c>
      <c r="DT4" s="53" t="s">
        <v>126</v>
      </c>
      <c r="DU4" s="53" t="s">
        <v>127</v>
      </c>
      <c r="DV4" s="53" t="s">
        <v>128</v>
      </c>
      <c r="DW4" s="49" t="s">
        <v>129</v>
      </c>
      <c r="DX4" s="53" t="s">
        <v>130</v>
      </c>
      <c r="DY4" s="53" t="s">
        <v>131</v>
      </c>
      <c r="DZ4" s="53" t="s">
        <v>132</v>
      </c>
      <c r="EA4" s="53" t="s">
        <v>133</v>
      </c>
      <c r="EB4" s="53" t="s">
        <v>134</v>
      </c>
      <c r="EC4" s="53" t="s">
        <v>135</v>
      </c>
      <c r="ED4" s="53" t="s">
        <v>136</v>
      </c>
      <c r="EE4" s="53" t="s">
        <v>137</v>
      </c>
      <c r="EF4" s="53" t="s">
        <v>138</v>
      </c>
      <c r="EG4" s="53" t="s">
        <v>139</v>
      </c>
      <c r="EH4" s="53" t="s">
        <v>140</v>
      </c>
      <c r="EI4" s="49" t="s">
        <v>141</v>
      </c>
      <c r="EJ4" s="53" t="s">
        <v>142</v>
      </c>
      <c r="EK4" s="53" t="s">
        <v>143</v>
      </c>
      <c r="EL4" s="53" t="s">
        <v>144</v>
      </c>
      <c r="EM4" s="53" t="s">
        <v>145</v>
      </c>
      <c r="EN4" s="53" t="s">
        <v>146</v>
      </c>
      <c r="EO4" s="53" t="s">
        <v>147</v>
      </c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</row>
    <row r="5" spans="1:255" x14ac:dyDescent="0.25">
      <c r="A5" s="54" t="s">
        <v>148</v>
      </c>
      <c r="B5" s="55" t="s">
        <v>149</v>
      </c>
      <c r="C5" s="55" t="s">
        <v>149</v>
      </c>
      <c r="D5" s="55" t="s">
        <v>149</v>
      </c>
      <c r="E5" s="55" t="s">
        <v>149</v>
      </c>
      <c r="F5" s="55" t="s">
        <v>149</v>
      </c>
      <c r="G5" s="55" t="s">
        <v>149</v>
      </c>
      <c r="H5" s="55" t="s">
        <v>149</v>
      </c>
      <c r="I5" s="55" t="s">
        <v>149</v>
      </c>
      <c r="J5" s="55" t="s">
        <v>149</v>
      </c>
      <c r="K5" s="55" t="s">
        <v>149</v>
      </c>
      <c r="L5" s="55" t="s">
        <v>149</v>
      </c>
      <c r="M5" s="55" t="s">
        <v>149</v>
      </c>
      <c r="N5" s="55" t="s">
        <v>149</v>
      </c>
      <c r="O5" s="55" t="s">
        <v>149</v>
      </c>
      <c r="P5" s="55" t="s">
        <v>149</v>
      </c>
      <c r="Q5" s="55" t="s">
        <v>149</v>
      </c>
      <c r="R5" s="55" t="s">
        <v>149</v>
      </c>
      <c r="S5" s="55" t="s">
        <v>149</v>
      </c>
      <c r="T5" s="55" t="s">
        <v>149</v>
      </c>
      <c r="U5" s="55" t="s">
        <v>149</v>
      </c>
      <c r="V5" s="55" t="s">
        <v>149</v>
      </c>
      <c r="W5" s="55" t="s">
        <v>149</v>
      </c>
      <c r="X5" s="55" t="s">
        <v>149</v>
      </c>
      <c r="Y5" s="55" t="s">
        <v>149</v>
      </c>
      <c r="Z5" s="49" t="s">
        <v>150</v>
      </c>
      <c r="AA5" s="50"/>
      <c r="AB5" s="51"/>
      <c r="AC5" s="40" t="s">
        <v>4</v>
      </c>
      <c r="AD5" s="49" t="str">
        <f>+A111</f>
        <v>THRU 01/31/2021</v>
      </c>
      <c r="AE5" s="52" t="s">
        <v>151</v>
      </c>
      <c r="AF5" s="52" t="s">
        <v>152</v>
      </c>
      <c r="AG5" s="52" t="s">
        <v>153</v>
      </c>
      <c r="AH5" s="53" t="s">
        <v>4</v>
      </c>
      <c r="AI5" s="53" t="s">
        <v>154</v>
      </c>
      <c r="AJ5" s="53" t="s">
        <v>155</v>
      </c>
      <c r="AK5" s="53"/>
      <c r="AL5" s="55" t="s">
        <v>149</v>
      </c>
      <c r="AM5" s="55" t="s">
        <v>149</v>
      </c>
      <c r="AN5" s="55" t="s">
        <v>149</v>
      </c>
      <c r="AO5" s="55" t="s">
        <v>149</v>
      </c>
      <c r="AP5" s="55" t="s">
        <v>149</v>
      </c>
      <c r="AQ5" s="55" t="s">
        <v>149</v>
      </c>
      <c r="AR5" s="55" t="s">
        <v>149</v>
      </c>
      <c r="AS5" s="55" t="s">
        <v>149</v>
      </c>
      <c r="AT5" s="55" t="s">
        <v>149</v>
      </c>
      <c r="AU5" s="55" t="s">
        <v>149</v>
      </c>
      <c r="AV5" s="55" t="s">
        <v>149</v>
      </c>
      <c r="AW5" s="55" t="s">
        <v>149</v>
      </c>
      <c r="AX5" s="56" t="s">
        <v>149</v>
      </c>
      <c r="AY5" s="56" t="s">
        <v>149</v>
      </c>
      <c r="AZ5" s="56" t="s">
        <v>149</v>
      </c>
      <c r="BA5" s="56" t="s">
        <v>149</v>
      </c>
      <c r="BB5" s="56" t="s">
        <v>149</v>
      </c>
      <c r="BC5" s="56" t="s">
        <v>149</v>
      </c>
      <c r="BD5" s="56" t="s">
        <v>149</v>
      </c>
      <c r="BE5" s="56" t="s">
        <v>149</v>
      </c>
      <c r="BF5" s="56" t="s">
        <v>149</v>
      </c>
      <c r="BG5" s="56" t="s">
        <v>149</v>
      </c>
      <c r="BH5" s="56" t="s">
        <v>149</v>
      </c>
      <c r="BI5" s="57" t="s">
        <v>149</v>
      </c>
      <c r="BJ5" s="56" t="s">
        <v>149</v>
      </c>
      <c r="BK5" s="56" t="s">
        <v>149</v>
      </c>
      <c r="BL5" s="56" t="s">
        <v>149</v>
      </c>
      <c r="BM5" s="56" t="s">
        <v>149</v>
      </c>
      <c r="BN5" s="56" t="s">
        <v>149</v>
      </c>
      <c r="BO5" s="56" t="s">
        <v>149</v>
      </c>
      <c r="BP5" s="56" t="s">
        <v>149</v>
      </c>
      <c r="BQ5" s="56" t="s">
        <v>149</v>
      </c>
      <c r="BR5" s="56" t="s">
        <v>149</v>
      </c>
      <c r="BS5" s="56" t="s">
        <v>149</v>
      </c>
      <c r="BT5" s="56" t="s">
        <v>149</v>
      </c>
      <c r="BU5" s="57" t="s">
        <v>149</v>
      </c>
      <c r="BV5" s="56" t="s">
        <v>149</v>
      </c>
      <c r="BW5" s="56" t="s">
        <v>149</v>
      </c>
      <c r="BX5" s="56" t="s">
        <v>149</v>
      </c>
      <c r="BY5" s="56" t="s">
        <v>149</v>
      </c>
      <c r="BZ5" s="56" t="s">
        <v>149</v>
      </c>
      <c r="CA5" s="56" t="s">
        <v>149</v>
      </c>
      <c r="CB5" s="56" t="s">
        <v>149</v>
      </c>
      <c r="CC5" s="56" t="s">
        <v>149</v>
      </c>
      <c r="CD5" s="56" t="s">
        <v>149</v>
      </c>
      <c r="CE5" s="56" t="s">
        <v>149</v>
      </c>
      <c r="CF5" s="56" t="s">
        <v>149</v>
      </c>
      <c r="CG5" s="58" t="s">
        <v>149</v>
      </c>
      <c r="CH5" s="56" t="s">
        <v>149</v>
      </c>
      <c r="CI5" s="56" t="s">
        <v>149</v>
      </c>
      <c r="CJ5" s="56" t="s">
        <v>149</v>
      </c>
      <c r="CK5" s="56" t="s">
        <v>149</v>
      </c>
      <c r="CL5" s="56" t="s">
        <v>149</v>
      </c>
      <c r="CM5" s="56" t="s">
        <v>149</v>
      </c>
      <c r="CN5" s="56" t="s">
        <v>149</v>
      </c>
      <c r="CO5" s="56" t="s">
        <v>149</v>
      </c>
      <c r="CP5" s="56" t="s">
        <v>149</v>
      </c>
      <c r="CQ5" s="56" t="s">
        <v>149</v>
      </c>
      <c r="CR5" s="56" t="s">
        <v>149</v>
      </c>
      <c r="CS5" s="56" t="s">
        <v>149</v>
      </c>
      <c r="CT5" s="56" t="s">
        <v>149</v>
      </c>
      <c r="CU5" s="56" t="s">
        <v>149</v>
      </c>
      <c r="CV5" s="56" t="s">
        <v>149</v>
      </c>
      <c r="CW5" s="56" t="s">
        <v>149</v>
      </c>
      <c r="CX5" s="56" t="s">
        <v>149</v>
      </c>
      <c r="CY5" s="55" t="s">
        <v>149</v>
      </c>
      <c r="CZ5" s="56" t="s">
        <v>149</v>
      </c>
      <c r="DA5" s="56" t="s">
        <v>149</v>
      </c>
      <c r="DB5" s="56" t="s">
        <v>149</v>
      </c>
      <c r="DC5" s="56" t="s">
        <v>149</v>
      </c>
      <c r="DD5" s="56" t="s">
        <v>149</v>
      </c>
      <c r="DE5" s="56" t="s">
        <v>149</v>
      </c>
      <c r="DF5" s="56" t="s">
        <v>149</v>
      </c>
      <c r="DG5" s="56" t="s">
        <v>149</v>
      </c>
      <c r="DH5" s="56" t="s">
        <v>149</v>
      </c>
      <c r="DI5" s="56" t="s">
        <v>149</v>
      </c>
      <c r="DJ5" s="56" t="s">
        <v>149</v>
      </c>
      <c r="DK5" s="55" t="s">
        <v>149</v>
      </c>
      <c r="DL5" s="56" t="s">
        <v>149</v>
      </c>
      <c r="DM5" s="56" t="s">
        <v>149</v>
      </c>
      <c r="DN5" s="56" t="s">
        <v>149</v>
      </c>
      <c r="DO5" s="56" t="s">
        <v>149</v>
      </c>
      <c r="DP5" s="56" t="s">
        <v>149</v>
      </c>
      <c r="DQ5" s="56" t="s">
        <v>149</v>
      </c>
      <c r="DR5" s="56" t="s">
        <v>149</v>
      </c>
      <c r="DS5" s="56" t="s">
        <v>149</v>
      </c>
      <c r="DT5" s="56" t="s">
        <v>149</v>
      </c>
      <c r="DU5" s="56" t="s">
        <v>149</v>
      </c>
      <c r="DV5" s="56" t="s">
        <v>149</v>
      </c>
      <c r="DW5" s="55" t="s">
        <v>149</v>
      </c>
      <c r="DX5" s="56" t="s">
        <v>149</v>
      </c>
      <c r="DY5" s="56" t="s">
        <v>149</v>
      </c>
      <c r="DZ5" s="56" t="s">
        <v>149</v>
      </c>
      <c r="EA5" s="56" t="s">
        <v>149</v>
      </c>
      <c r="EB5" s="56" t="s">
        <v>149</v>
      </c>
      <c r="EC5" s="56" t="s">
        <v>149</v>
      </c>
      <c r="ED5" s="56" t="s">
        <v>149</v>
      </c>
      <c r="EE5" s="56" t="s">
        <v>149</v>
      </c>
      <c r="EF5" s="56" t="s">
        <v>149</v>
      </c>
      <c r="EG5" s="56" t="s">
        <v>149</v>
      </c>
      <c r="EH5" s="56" t="s">
        <v>149</v>
      </c>
      <c r="EI5" s="55" t="s">
        <v>149</v>
      </c>
      <c r="EJ5" s="56" t="s">
        <v>149</v>
      </c>
      <c r="EK5" s="56" t="s">
        <v>149</v>
      </c>
      <c r="EL5" s="56" t="s">
        <v>149</v>
      </c>
      <c r="EM5" s="56" t="s">
        <v>149</v>
      </c>
      <c r="EN5" s="56" t="s">
        <v>149</v>
      </c>
      <c r="EO5" s="56" t="s">
        <v>149</v>
      </c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</row>
    <row r="6" spans="1:255" x14ac:dyDescent="0.25">
      <c r="A6" s="41" t="s">
        <v>156</v>
      </c>
      <c r="Z6" s="40" t="s">
        <v>157</v>
      </c>
      <c r="AA6" s="59"/>
      <c r="AB6" s="60"/>
      <c r="AC6" s="40" t="s">
        <v>4</v>
      </c>
      <c r="AD6" s="40" t="s">
        <v>157</v>
      </c>
      <c r="AE6" s="40" t="s">
        <v>242</v>
      </c>
      <c r="AF6" s="40"/>
      <c r="AG6" s="40"/>
      <c r="AH6" s="40" t="s">
        <v>4</v>
      </c>
      <c r="AI6" s="40" t="s">
        <v>242</v>
      </c>
      <c r="AJ6" s="41"/>
      <c r="AK6" s="41"/>
      <c r="BI6" s="41"/>
      <c r="BT6" s="48"/>
      <c r="BU6" s="47"/>
      <c r="CG6" s="48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1"/>
      <c r="CS6" s="41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1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1"/>
      <c r="DQ6" s="41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</row>
    <row r="7" spans="1:255" s="101" customFormat="1" ht="15.6" x14ac:dyDescent="0.3">
      <c r="A7" s="92" t="s">
        <v>158</v>
      </c>
      <c r="B7" s="96">
        <v>108111.95</v>
      </c>
      <c r="C7" s="96">
        <v>103891.99</v>
      </c>
      <c r="D7" s="96">
        <v>97524.82</v>
      </c>
      <c r="E7" s="96">
        <v>79010.58</v>
      </c>
      <c r="F7" s="96">
        <v>117801.75</v>
      </c>
      <c r="G7" s="96">
        <v>111374.93</v>
      </c>
      <c r="H7" s="96">
        <v>101600.21</v>
      </c>
      <c r="I7" s="96">
        <v>116619.3</v>
      </c>
      <c r="J7" s="96">
        <v>91617.53</v>
      </c>
      <c r="K7" s="96">
        <v>92544.19</v>
      </c>
      <c r="L7" s="96">
        <v>108580.08</v>
      </c>
      <c r="M7" s="96">
        <v>111561.64</v>
      </c>
      <c r="N7" s="96">
        <v>96764.74</v>
      </c>
      <c r="O7" s="96">
        <v>91884.13</v>
      </c>
      <c r="P7" s="96">
        <v>93219.67</v>
      </c>
      <c r="Q7" s="96">
        <v>80168.72</v>
      </c>
      <c r="R7" s="96">
        <v>83783.08</v>
      </c>
      <c r="S7" s="96">
        <v>132994.32</v>
      </c>
      <c r="T7" s="96">
        <v>87497.79</v>
      </c>
      <c r="U7" s="96">
        <v>78792.58</v>
      </c>
      <c r="V7" s="96">
        <v>135481.26999999999</v>
      </c>
      <c r="W7" s="96">
        <v>118612.47</v>
      </c>
      <c r="X7" s="96">
        <v>145972.18</v>
      </c>
      <c r="Y7" s="96">
        <v>195658.13</v>
      </c>
      <c r="Z7" s="96">
        <f>X7-Y7</f>
        <v>-49685.950000000012</v>
      </c>
      <c r="AA7" s="102">
        <v>1300000</v>
      </c>
      <c r="AB7" s="103">
        <v>1368000</v>
      </c>
      <c r="AC7" s="96" t="s">
        <v>4</v>
      </c>
      <c r="AD7" s="96">
        <f>B7+D7+F7+H7+J7+L7+N7+P7+R7+T7+V7+X7</f>
        <v>1267955.0699999998</v>
      </c>
      <c r="AE7" s="96">
        <f>+AI7/12*A108</f>
        <v>1545000</v>
      </c>
      <c r="AF7" s="96">
        <f>+AD7-AE7</f>
        <v>-277044.93000000017</v>
      </c>
      <c r="AG7" s="96">
        <f>+C7+E7+G7+I7+K7+M7+O7+Q7+S7+U7+W7+Y7</f>
        <v>1313112.98</v>
      </c>
      <c r="AH7" s="96" t="s">
        <v>4</v>
      </c>
      <c r="AI7" s="97">
        <v>1545000</v>
      </c>
      <c r="AJ7" s="98">
        <v>0.82069999999999999</v>
      </c>
      <c r="AK7" s="98"/>
      <c r="AL7" s="96">
        <f>234566.63+300</f>
        <v>234866.63</v>
      </c>
      <c r="AM7" s="96">
        <v>116251.76</v>
      </c>
      <c r="AN7" s="96">
        <v>110541.08</v>
      </c>
      <c r="AO7" s="96">
        <v>98325.32</v>
      </c>
      <c r="AP7" s="96">
        <v>75352.240000000005</v>
      </c>
      <c r="AQ7" s="96">
        <v>109849.05</v>
      </c>
      <c r="AR7" s="96">
        <v>96075.62</v>
      </c>
      <c r="AS7" s="96">
        <v>89798.42</v>
      </c>
      <c r="AT7" s="96">
        <v>126795.05</v>
      </c>
      <c r="AU7" s="96">
        <v>112368.55</v>
      </c>
      <c r="AV7" s="96">
        <v>81425.95</v>
      </c>
      <c r="AW7" s="96">
        <v>115422.83</v>
      </c>
      <c r="AX7" s="96">
        <f>192458.33+855+124.76+3101.53+251+596.7</f>
        <v>197387.32</v>
      </c>
      <c r="AY7" s="96">
        <v>126747.79</v>
      </c>
      <c r="AZ7" s="96">
        <v>131947.31</v>
      </c>
      <c r="BA7" s="96">
        <v>107490.74</v>
      </c>
      <c r="BB7" s="96">
        <v>101765.24</v>
      </c>
      <c r="BC7" s="96">
        <v>109661.83</v>
      </c>
      <c r="BD7" s="96">
        <v>87401.57</v>
      </c>
      <c r="BE7" s="96">
        <v>121114.54</v>
      </c>
      <c r="BF7" s="96">
        <v>133030.03</v>
      </c>
      <c r="BG7" s="96">
        <v>112312.4</v>
      </c>
      <c r="BH7" s="96">
        <v>84863.45</v>
      </c>
      <c r="BI7" s="100">
        <v>106855.28</v>
      </c>
      <c r="BJ7" s="96">
        <v>205528.9</v>
      </c>
      <c r="BK7" s="96">
        <v>115910.94</v>
      </c>
      <c r="BL7" s="104">
        <v>108937.85</v>
      </c>
      <c r="BM7" s="104">
        <v>119958.51</v>
      </c>
      <c r="BN7" s="104">
        <v>105985.95</v>
      </c>
      <c r="BO7" s="104">
        <v>110848.35</v>
      </c>
      <c r="BP7" s="104">
        <v>112713.66</v>
      </c>
      <c r="BQ7" s="104">
        <v>100488.69</v>
      </c>
      <c r="BR7" s="104">
        <v>107318.53</v>
      </c>
      <c r="BS7" s="104">
        <v>101070.25</v>
      </c>
      <c r="BT7" s="104">
        <v>131914.22</v>
      </c>
      <c r="BU7" s="100">
        <v>123832.95</v>
      </c>
      <c r="BV7" s="96">
        <v>221963.94</v>
      </c>
      <c r="BW7" s="96">
        <v>133152.03</v>
      </c>
      <c r="BX7" s="96">
        <v>128540.56</v>
      </c>
      <c r="BY7" s="104">
        <v>120863.22</v>
      </c>
      <c r="BZ7" s="104">
        <v>116793.97</v>
      </c>
      <c r="CA7" s="104">
        <v>82453.22</v>
      </c>
      <c r="CB7" s="104">
        <v>84696.49</v>
      </c>
      <c r="CC7" s="104">
        <v>131442.09</v>
      </c>
      <c r="CD7" s="104">
        <v>78772.02</v>
      </c>
      <c r="CE7" s="104">
        <v>114120.3</v>
      </c>
      <c r="CF7" s="104">
        <v>108670.69</v>
      </c>
      <c r="CG7" s="104">
        <v>96741.9</v>
      </c>
      <c r="CH7" s="96">
        <f>232308.17+1118.63+9600.66+16785.5+562</f>
        <v>260374.96000000002</v>
      </c>
      <c r="CI7" s="96">
        <v>138481.69</v>
      </c>
      <c r="CJ7" s="96">
        <v>85089.279999999999</v>
      </c>
      <c r="CK7" s="96">
        <v>122822.48</v>
      </c>
      <c r="CL7" s="96">
        <v>104254.61</v>
      </c>
      <c r="CM7" s="96">
        <v>85376.02</v>
      </c>
      <c r="CN7" s="96">
        <v>133082.45000000001</v>
      </c>
      <c r="CO7" s="96">
        <v>93742.1</v>
      </c>
      <c r="CP7" s="96">
        <v>104964.43</v>
      </c>
      <c r="CQ7" s="96">
        <v>139762.69</v>
      </c>
      <c r="CR7" s="96">
        <v>106142.35</v>
      </c>
      <c r="CS7" s="104">
        <v>97990.56</v>
      </c>
      <c r="CT7" s="96">
        <v>266289.37</v>
      </c>
      <c r="CU7" s="96">
        <v>100200.66</v>
      </c>
      <c r="CV7" s="96">
        <v>109288.31</v>
      </c>
      <c r="CW7" s="96">
        <v>102841.72</v>
      </c>
      <c r="CX7" s="96">
        <v>107720.37</v>
      </c>
      <c r="CY7" s="96">
        <v>87553.04</v>
      </c>
      <c r="CZ7" s="96">
        <v>109026.83</v>
      </c>
      <c r="DA7" s="96">
        <v>107250.14</v>
      </c>
      <c r="DB7" s="96">
        <v>91468.62</v>
      </c>
      <c r="DC7" s="96">
        <v>140227.12</v>
      </c>
      <c r="DD7" s="96">
        <v>138652.21</v>
      </c>
      <c r="DE7" s="96">
        <v>107553.83</v>
      </c>
      <c r="DF7" s="96">
        <f>233292.97+1000+500</f>
        <v>234792.97</v>
      </c>
      <c r="DG7" s="96">
        <v>125930.34</v>
      </c>
      <c r="DH7" s="96">
        <v>119274.68</v>
      </c>
      <c r="DI7" s="96">
        <v>129449.89</v>
      </c>
      <c r="DJ7" s="96">
        <v>86717.25</v>
      </c>
      <c r="DK7" s="96">
        <v>104902.66</v>
      </c>
      <c r="DL7" s="96">
        <v>101845</v>
      </c>
      <c r="DM7" s="96">
        <v>103029.04</v>
      </c>
      <c r="DN7" s="96">
        <v>119202.87</v>
      </c>
      <c r="DO7" s="96">
        <v>100048.31</v>
      </c>
      <c r="DP7" s="96">
        <v>116329.62</v>
      </c>
      <c r="DQ7" s="96">
        <v>109948.87</v>
      </c>
      <c r="DR7" s="96">
        <v>174611.12</v>
      </c>
      <c r="DS7" s="96">
        <f>122142.55</f>
        <v>122142.55</v>
      </c>
      <c r="DT7" s="96">
        <v>133440.4</v>
      </c>
      <c r="DU7" s="96">
        <v>72110.240000000005</v>
      </c>
      <c r="DV7" s="96">
        <v>105373.33</v>
      </c>
      <c r="DW7" s="96">
        <v>115117.03</v>
      </c>
      <c r="DX7" s="96">
        <v>92412.11</v>
      </c>
      <c r="DY7" s="96">
        <v>101475.04</v>
      </c>
      <c r="DZ7" s="96">
        <v>119036.65</v>
      </c>
      <c r="EA7" s="96">
        <v>106256.52</v>
      </c>
      <c r="EB7" s="96">
        <v>96941.79</v>
      </c>
      <c r="EC7" s="96">
        <v>121287.54</v>
      </c>
      <c r="ED7" s="96">
        <v>166425.82</v>
      </c>
      <c r="EE7" s="96">
        <v>152673.85</v>
      </c>
      <c r="EF7" s="96">
        <v>132539.18</v>
      </c>
      <c r="EG7" s="96">
        <v>114420.46</v>
      </c>
      <c r="EH7" s="96">
        <v>96551.61</v>
      </c>
      <c r="EI7" s="96">
        <v>98456.74</v>
      </c>
      <c r="EJ7" s="96">
        <v>102204.34</v>
      </c>
      <c r="EK7" s="96">
        <v>127421.24</v>
      </c>
      <c r="EL7" s="96">
        <v>90645.11</v>
      </c>
      <c r="EM7" s="96">
        <v>108741.67</v>
      </c>
      <c r="EN7" s="96">
        <v>92104.33</v>
      </c>
      <c r="EO7" s="96">
        <v>124434.89</v>
      </c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</row>
    <row r="8" spans="1:255" x14ac:dyDescent="0.25">
      <c r="A8" s="41" t="s">
        <v>159</v>
      </c>
      <c r="AA8" s="59"/>
      <c r="AB8" s="60"/>
      <c r="AC8" s="40" t="s">
        <v>4</v>
      </c>
      <c r="AD8" s="40"/>
      <c r="AE8" s="40"/>
      <c r="AF8" s="40"/>
      <c r="AG8" s="40"/>
      <c r="AH8" s="40" t="s">
        <v>4</v>
      </c>
      <c r="AI8" s="61"/>
      <c r="AJ8" s="62"/>
      <c r="AK8" s="62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7"/>
      <c r="BK8" s="40"/>
      <c r="BS8" s="48"/>
      <c r="BT8" s="48"/>
      <c r="BU8" s="47"/>
      <c r="BX8" s="40"/>
      <c r="CF8" s="48"/>
      <c r="CG8" s="48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8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</row>
    <row r="9" spans="1:255" x14ac:dyDescent="0.25">
      <c r="A9" s="41" t="s">
        <v>160</v>
      </c>
      <c r="B9" s="40">
        <v>2612.0300000000002</v>
      </c>
      <c r="C9" s="40">
        <v>850</v>
      </c>
      <c r="D9" s="40">
        <v>1762.03</v>
      </c>
      <c r="E9" s="40">
        <v>887.03</v>
      </c>
      <c r="F9" s="40">
        <v>1362.03</v>
      </c>
      <c r="G9" s="40">
        <v>2251</v>
      </c>
      <c r="H9" s="40">
        <v>1337.03</v>
      </c>
      <c r="I9" s="40">
        <v>2585.69</v>
      </c>
      <c r="J9" s="40">
        <v>1187.03</v>
      </c>
      <c r="K9" s="40">
        <v>4063</v>
      </c>
      <c r="L9" s="40">
        <v>2337.0300000000002</v>
      </c>
      <c r="M9" s="40">
        <v>1384.29</v>
      </c>
      <c r="N9" s="40">
        <v>812.03</v>
      </c>
      <c r="O9" s="40">
        <v>474.8</v>
      </c>
      <c r="P9" s="40">
        <v>1387.03</v>
      </c>
      <c r="Q9" s="40">
        <v>995.99</v>
      </c>
      <c r="R9" s="40">
        <v>1087.03</v>
      </c>
      <c r="S9" s="40">
        <v>1487.03</v>
      </c>
      <c r="T9" s="40">
        <v>1152.03</v>
      </c>
      <c r="U9" s="40">
        <v>1262.03</v>
      </c>
      <c r="V9" s="40">
        <v>15540.03</v>
      </c>
      <c r="W9" s="40">
        <v>1912.03</v>
      </c>
      <c r="X9" s="40">
        <v>3166.68</v>
      </c>
      <c r="Y9" s="40">
        <v>7805.03</v>
      </c>
      <c r="Z9" s="40">
        <f t="shared" ref="Z9:Z15" si="0">X9-Y9</f>
        <v>-4638.3500000000004</v>
      </c>
      <c r="AA9" s="107">
        <v>35000</v>
      </c>
      <c r="AB9" s="60">
        <v>38000</v>
      </c>
      <c r="AC9" s="40" t="s">
        <v>4</v>
      </c>
      <c r="AD9" s="40">
        <f>B9+D9+F9+H9+J9+L9+N9+P9+R9+T9+V9+X9</f>
        <v>33742.01</v>
      </c>
      <c r="AE9" s="40">
        <f>+AI9/12*A108</f>
        <v>75000</v>
      </c>
      <c r="AF9" s="40">
        <f>+AD9-AE9</f>
        <v>-41257.99</v>
      </c>
      <c r="AG9" s="40">
        <f>+C9+E9+G9+I9+K9+M9+O9+Q9+S9+U9+W9+Y9</f>
        <v>25957.919999999998</v>
      </c>
      <c r="AH9" s="40" t="s">
        <v>4</v>
      </c>
      <c r="AI9" s="61">
        <v>75000</v>
      </c>
      <c r="AJ9" s="62">
        <f>+AD9/AI9</f>
        <v>0.44989346666666669</v>
      </c>
      <c r="AK9" s="62"/>
      <c r="AL9" s="40">
        <f>4037.03+422.8+250</f>
        <v>4709.83</v>
      </c>
      <c r="AM9" s="40">
        <v>9115.3799999999992</v>
      </c>
      <c r="AN9" s="40">
        <v>1062.03</v>
      </c>
      <c r="AO9" s="40">
        <v>3097.03</v>
      </c>
      <c r="AP9" s="40">
        <v>2322.0300000000002</v>
      </c>
      <c r="AQ9" s="40">
        <v>1832.03</v>
      </c>
      <c r="AR9" s="40">
        <v>4709.75</v>
      </c>
      <c r="AS9" s="40">
        <v>1447.03</v>
      </c>
      <c r="AT9" s="40">
        <v>972.03</v>
      </c>
      <c r="AU9" s="40">
        <v>972.03</v>
      </c>
      <c r="AV9" s="40">
        <v>947.03</v>
      </c>
      <c r="AW9" s="40">
        <v>3022.03</v>
      </c>
      <c r="AX9" s="40">
        <f>2830+722.03</f>
        <v>3552.0299999999997</v>
      </c>
      <c r="AY9" s="40">
        <v>9995.89</v>
      </c>
      <c r="AZ9" s="40">
        <v>2912.03</v>
      </c>
      <c r="BA9" s="40">
        <v>1287.03</v>
      </c>
      <c r="BB9" s="40">
        <v>1412.03</v>
      </c>
      <c r="BC9" s="40">
        <v>912.03</v>
      </c>
      <c r="BD9" s="40">
        <v>2537.48</v>
      </c>
      <c r="BE9" s="40">
        <v>1012.03</v>
      </c>
      <c r="BF9" s="40">
        <v>2172.0300000000002</v>
      </c>
      <c r="BG9" s="40">
        <v>2067.0300000000002</v>
      </c>
      <c r="BH9" s="40">
        <v>1457.03</v>
      </c>
      <c r="BI9" s="47">
        <v>2162.0300000000002</v>
      </c>
      <c r="BJ9" s="40">
        <v>7619.59</v>
      </c>
      <c r="BK9" s="40">
        <v>8162.03</v>
      </c>
      <c r="BL9" s="48">
        <v>925</v>
      </c>
      <c r="BM9" s="48">
        <v>550</v>
      </c>
      <c r="BN9" s="48">
        <v>862.03</v>
      </c>
      <c r="BO9" s="48">
        <v>862.03</v>
      </c>
      <c r="BP9" s="48">
        <v>972.03</v>
      </c>
      <c r="BQ9" s="48">
        <v>2637.03</v>
      </c>
      <c r="BR9" s="48">
        <v>5127.03</v>
      </c>
      <c r="BS9" s="48">
        <v>712.03</v>
      </c>
      <c r="BT9" s="48">
        <v>1887.03</v>
      </c>
      <c r="BU9" s="47">
        <v>1487.03</v>
      </c>
      <c r="BV9" s="40">
        <v>3877.03</v>
      </c>
      <c r="BW9" s="40">
        <v>10557.03</v>
      </c>
      <c r="BX9" s="40">
        <v>762.03</v>
      </c>
      <c r="BY9" s="48">
        <v>912.03</v>
      </c>
      <c r="BZ9" s="48">
        <v>952.03</v>
      </c>
      <c r="CA9" s="48">
        <v>2107.0300000000002</v>
      </c>
      <c r="CB9" s="48">
        <v>1112.03</v>
      </c>
      <c r="CC9" s="48">
        <v>1346.38</v>
      </c>
      <c r="CD9" s="48">
        <v>4170</v>
      </c>
      <c r="CE9" s="48">
        <v>2649.3</v>
      </c>
      <c r="CF9" s="48">
        <v>1625</v>
      </c>
      <c r="CG9" s="48">
        <v>2100</v>
      </c>
      <c r="CH9" s="40">
        <v>6372.02</v>
      </c>
      <c r="CI9" s="40">
        <v>13453.6</v>
      </c>
      <c r="CJ9" s="40">
        <v>2415</v>
      </c>
      <c r="CK9" s="40">
        <v>1160</v>
      </c>
      <c r="CL9" s="40">
        <v>1130</v>
      </c>
      <c r="CM9" s="40">
        <v>100</v>
      </c>
      <c r="CN9" s="40">
        <f>1415</f>
        <v>1415</v>
      </c>
      <c r="CO9" s="40">
        <v>1290</v>
      </c>
      <c r="CP9" s="40">
        <v>0</v>
      </c>
      <c r="CQ9" s="40">
        <v>915</v>
      </c>
      <c r="CR9" s="40">
        <v>2165</v>
      </c>
      <c r="CS9" s="48">
        <v>1500</v>
      </c>
      <c r="CT9" s="40">
        <v>1860</v>
      </c>
      <c r="CU9" s="40">
        <v>14424</v>
      </c>
      <c r="CV9" s="40">
        <v>8443.9500000000007</v>
      </c>
      <c r="CW9" s="40">
        <v>2618.1999999999998</v>
      </c>
      <c r="CX9" s="40">
        <v>1923.2</v>
      </c>
      <c r="CY9" s="40">
        <v>3793.2</v>
      </c>
      <c r="CZ9" s="40">
        <v>2616</v>
      </c>
      <c r="DA9" s="40">
        <v>1138.2</v>
      </c>
      <c r="DB9" s="40">
        <v>3763.2</v>
      </c>
      <c r="DC9" s="40">
        <v>1623.2</v>
      </c>
      <c r="DD9" s="40">
        <v>1385</v>
      </c>
      <c r="DE9" s="40">
        <v>4124</v>
      </c>
      <c r="DF9" s="40">
        <v>1860</v>
      </c>
      <c r="DG9" s="40">
        <v>14850.53</v>
      </c>
      <c r="DH9" s="40">
        <v>3901</v>
      </c>
      <c r="DI9" s="40">
        <v>2370</v>
      </c>
      <c r="DJ9" s="40">
        <v>775</v>
      </c>
      <c r="DK9" s="40">
        <v>3430</v>
      </c>
      <c r="DL9" s="40">
        <v>3885</v>
      </c>
      <c r="DM9" s="40">
        <v>2225</v>
      </c>
      <c r="DN9" s="40">
        <v>5340</v>
      </c>
      <c r="DO9" s="40">
        <v>1890</v>
      </c>
      <c r="DP9" s="40">
        <v>1616.6</v>
      </c>
      <c r="DQ9" s="40">
        <v>5045</v>
      </c>
      <c r="DR9" s="40">
        <v>4866</v>
      </c>
      <c r="DS9" s="40">
        <v>6990.16</v>
      </c>
      <c r="DT9" s="40">
        <v>1005</v>
      </c>
      <c r="DU9" s="40">
        <v>1472</v>
      </c>
      <c r="DV9" s="40">
        <v>300</v>
      </c>
      <c r="DW9" s="40">
        <v>2795</v>
      </c>
      <c r="DX9" s="40">
        <v>2182</v>
      </c>
      <c r="DY9" s="40">
        <v>3015.25</v>
      </c>
      <c r="DZ9" s="40">
        <v>1042</v>
      </c>
      <c r="EA9" s="40">
        <v>1436.2</v>
      </c>
      <c r="EB9" s="40">
        <v>2222</v>
      </c>
      <c r="EC9" s="40">
        <v>36</v>
      </c>
      <c r="ED9" s="40">
        <v>12369.5</v>
      </c>
      <c r="EE9" s="40">
        <v>8357.4599999999991</v>
      </c>
      <c r="EF9" s="40">
        <v>1734.5</v>
      </c>
      <c r="EG9" s="40">
        <v>338.5</v>
      </c>
      <c r="EH9" s="40">
        <v>1040.5</v>
      </c>
      <c r="EI9" s="40">
        <v>1766.4</v>
      </c>
      <c r="EJ9" s="40">
        <v>3466.5</v>
      </c>
      <c r="EK9" s="40">
        <v>18847</v>
      </c>
      <c r="EL9" s="40">
        <v>1192</v>
      </c>
      <c r="EM9" s="40">
        <v>875</v>
      </c>
      <c r="EN9" s="40">
        <v>1808</v>
      </c>
      <c r="EO9" s="40">
        <v>955</v>
      </c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</row>
    <row r="10" spans="1:255" x14ac:dyDescent="0.25">
      <c r="A10" s="41" t="s">
        <v>161</v>
      </c>
      <c r="AA10" s="59"/>
      <c r="AB10" s="60"/>
      <c r="AC10" s="40" t="s">
        <v>4</v>
      </c>
      <c r="AD10" s="40"/>
      <c r="AE10" s="40"/>
      <c r="AF10" s="40"/>
      <c r="AG10" s="40"/>
      <c r="AH10" s="40" t="s">
        <v>4</v>
      </c>
      <c r="AI10" s="61"/>
      <c r="AJ10" s="62"/>
      <c r="AK10" s="62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7"/>
      <c r="BK10" s="40"/>
      <c r="BS10" s="48"/>
      <c r="BT10" s="48"/>
      <c r="BU10" s="47"/>
      <c r="BX10" s="40"/>
      <c r="CF10" s="48"/>
      <c r="CG10" s="48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8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</row>
    <row r="11" spans="1:255" x14ac:dyDescent="0.25">
      <c r="A11" s="41" t="s">
        <v>162</v>
      </c>
      <c r="B11" s="40">
        <v>0</v>
      </c>
      <c r="C11" s="40">
        <v>0</v>
      </c>
      <c r="D11" s="40">
        <v>0</v>
      </c>
      <c r="E11" s="40">
        <v>10000</v>
      </c>
      <c r="F11" s="40">
        <v>10000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f t="shared" si="0"/>
        <v>0</v>
      </c>
      <c r="AA11" s="59">
        <v>10000</v>
      </c>
      <c r="AB11" s="60">
        <v>10000</v>
      </c>
      <c r="AC11" s="40" t="s">
        <v>4</v>
      </c>
      <c r="AD11" s="40">
        <f>B11+D11+F11+H11+J11+L11+N11+P11+R11+T11+V11+X11</f>
        <v>10000</v>
      </c>
      <c r="AE11" s="40">
        <f>+AI11/12*A108</f>
        <v>10000</v>
      </c>
      <c r="AF11" s="40">
        <f>+AD11-AE11</f>
        <v>0</v>
      </c>
      <c r="AG11" s="40">
        <f>+C11+E11+G11+I11+K11+M11+O11+Q11+S11+U11+W11+Y11</f>
        <v>10000</v>
      </c>
      <c r="AH11" s="40" t="s">
        <v>4</v>
      </c>
      <c r="AI11" s="61">
        <v>10000</v>
      </c>
      <c r="AJ11" s="62">
        <f>+AD11/AI11</f>
        <v>1</v>
      </c>
      <c r="AK11" s="62"/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10000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7">
        <v>10000</v>
      </c>
      <c r="BJ11" s="40">
        <v>0</v>
      </c>
      <c r="BK11" s="40">
        <v>0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11000</v>
      </c>
      <c r="BU11" s="47">
        <v>0</v>
      </c>
      <c r="BV11" s="40">
        <v>0</v>
      </c>
      <c r="BW11" s="40">
        <v>0</v>
      </c>
      <c r="BX11" s="40">
        <v>0</v>
      </c>
      <c r="BY11" s="48">
        <v>0</v>
      </c>
      <c r="BZ11" s="48">
        <v>0</v>
      </c>
      <c r="CA11" s="48">
        <v>0</v>
      </c>
      <c r="CB11" s="48">
        <v>0</v>
      </c>
      <c r="CC11" s="48">
        <v>0</v>
      </c>
      <c r="CD11" s="48">
        <v>0</v>
      </c>
      <c r="CE11" s="48">
        <v>0</v>
      </c>
      <c r="CF11" s="48">
        <v>0</v>
      </c>
      <c r="CG11" s="48">
        <v>15000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8">
        <v>15000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15000</v>
      </c>
      <c r="DF11" s="40">
        <v>0</v>
      </c>
      <c r="DG11" s="40">
        <v>0</v>
      </c>
      <c r="DH11" s="40">
        <v>0</v>
      </c>
      <c r="DI11" s="40">
        <v>0</v>
      </c>
      <c r="DJ11" s="40">
        <v>0</v>
      </c>
      <c r="DK11" s="40">
        <v>0</v>
      </c>
      <c r="DL11" s="40">
        <v>0</v>
      </c>
      <c r="DM11" s="40">
        <v>0</v>
      </c>
      <c r="DN11" s="40">
        <v>0</v>
      </c>
      <c r="DO11" s="40">
        <v>0</v>
      </c>
      <c r="DP11" s="40">
        <v>10000</v>
      </c>
      <c r="DQ11" s="40">
        <v>5000</v>
      </c>
      <c r="DR11" s="40">
        <v>0</v>
      </c>
      <c r="DS11" s="40">
        <v>0</v>
      </c>
      <c r="DT11" s="40">
        <v>0</v>
      </c>
      <c r="DU11" s="40">
        <v>0</v>
      </c>
      <c r="DV11" s="40">
        <v>0</v>
      </c>
      <c r="DW11" s="40">
        <v>0</v>
      </c>
      <c r="DX11" s="40">
        <v>0</v>
      </c>
      <c r="DY11" s="40">
        <v>0</v>
      </c>
      <c r="DZ11" s="40">
        <v>0</v>
      </c>
      <c r="EA11" s="40">
        <v>0</v>
      </c>
      <c r="EB11" s="40">
        <v>0</v>
      </c>
      <c r="EC11" s="40">
        <v>15000</v>
      </c>
      <c r="ED11" s="40">
        <v>0</v>
      </c>
      <c r="EE11" s="40">
        <v>0</v>
      </c>
      <c r="EF11" s="40">
        <v>0</v>
      </c>
      <c r="EG11" s="40">
        <v>0</v>
      </c>
      <c r="EH11" s="40">
        <v>0</v>
      </c>
      <c r="EI11" s="40">
        <v>0</v>
      </c>
      <c r="EJ11" s="40">
        <v>0</v>
      </c>
      <c r="EK11" s="40">
        <v>0</v>
      </c>
      <c r="EL11" s="40">
        <v>15000</v>
      </c>
      <c r="EM11" s="40">
        <v>0</v>
      </c>
      <c r="EN11" s="40">
        <v>0</v>
      </c>
      <c r="EO11" s="40">
        <v>0</v>
      </c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</row>
    <row r="12" spans="1:255" x14ac:dyDescent="0.25">
      <c r="A12" s="41" t="s">
        <v>163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f t="shared" si="0"/>
        <v>0</v>
      </c>
      <c r="AA12" s="59"/>
      <c r="AB12" s="60"/>
      <c r="AC12" s="40" t="s">
        <v>4</v>
      </c>
      <c r="AD12" s="40">
        <f>B12+D12+F12+H12+J12+L12+N12+P12+R12+T12+V12+X12</f>
        <v>0</v>
      </c>
      <c r="AE12" s="40">
        <f>+AI12/12*A108</f>
        <v>0</v>
      </c>
      <c r="AF12" s="40">
        <f>+AD12-AE12</f>
        <v>0</v>
      </c>
      <c r="AG12" s="40">
        <f>+C12+E12+G12+I12+K12+M12+O12+Q12+S12+U12+W12+Y12</f>
        <v>0</v>
      </c>
      <c r="AH12" s="40" t="s">
        <v>4</v>
      </c>
      <c r="AI12" s="61">
        <v>0</v>
      </c>
      <c r="AJ12" s="62" t="s">
        <v>157</v>
      </c>
      <c r="AK12" s="62"/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7">
        <v>0</v>
      </c>
      <c r="BJ12" s="40">
        <v>0</v>
      </c>
      <c r="BK12" s="40">
        <v>0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47">
        <v>0</v>
      </c>
      <c r="BV12" s="40">
        <f>29.58+13</f>
        <v>42.58</v>
      </c>
      <c r="BW12" s="40">
        <v>712.35</v>
      </c>
      <c r="BX12" s="40">
        <v>0</v>
      </c>
      <c r="BY12" s="48">
        <v>0</v>
      </c>
      <c r="BZ12" s="48">
        <v>0</v>
      </c>
      <c r="CA12" s="48">
        <v>0</v>
      </c>
      <c r="CB12" s="48">
        <v>0</v>
      </c>
      <c r="CC12" s="48">
        <v>0</v>
      </c>
      <c r="CD12" s="48">
        <v>0</v>
      </c>
      <c r="CE12" s="48">
        <v>0</v>
      </c>
      <c r="CF12" s="48">
        <v>0</v>
      </c>
      <c r="CG12" s="48">
        <v>0</v>
      </c>
      <c r="CH12" s="40">
        <v>273.22000000000003</v>
      </c>
      <c r="CI12" s="40">
        <v>712.6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8">
        <v>0</v>
      </c>
      <c r="CT12" s="40">
        <v>260.51</v>
      </c>
      <c r="CU12" s="40">
        <f>25.09+682.97</f>
        <v>708.06000000000006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44.1</v>
      </c>
      <c r="DG12" s="40">
        <f>167.82+38.11</f>
        <v>205.93</v>
      </c>
      <c r="DH12" s="40">
        <f>37.23+1105.62</f>
        <v>1142.8499999999999</v>
      </c>
      <c r="DI12" s="40">
        <f>275.15-190.36</f>
        <v>84.789999999999964</v>
      </c>
      <c r="DJ12" s="40">
        <v>1142.0999999999999</v>
      </c>
      <c r="DK12" s="40">
        <v>29.54</v>
      </c>
      <c r="DL12" s="40">
        <v>38.65</v>
      </c>
      <c r="DM12" s="40">
        <v>1094.06</v>
      </c>
      <c r="DN12" s="40">
        <v>19.79</v>
      </c>
      <c r="DO12" s="40">
        <v>74</v>
      </c>
      <c r="DP12" s="40">
        <v>1148.17</v>
      </c>
      <c r="DQ12" s="40">
        <v>0</v>
      </c>
      <c r="DR12" s="40">
        <f>103.49+17.42</f>
        <v>120.91</v>
      </c>
      <c r="DS12" s="40">
        <f>47.53+1081.5</f>
        <v>1129.03</v>
      </c>
      <c r="DT12" s="40">
        <v>47.33</v>
      </c>
      <c r="DU12" s="40">
        <f>39.95+30.88</f>
        <v>70.83</v>
      </c>
      <c r="DV12" s="40">
        <v>0</v>
      </c>
      <c r="DW12" s="40">
        <f>108.68+1104.64</f>
        <v>1213.3200000000002</v>
      </c>
      <c r="DX12" s="40">
        <v>0</v>
      </c>
      <c r="DY12" s="40">
        <f>30.68+1030.53</f>
        <v>1061.21</v>
      </c>
      <c r="DZ12" s="40">
        <v>27.29</v>
      </c>
      <c r="EA12" s="40">
        <f>62.76+29.84</f>
        <v>92.6</v>
      </c>
      <c r="EB12" s="40">
        <f>58+1059.73</f>
        <v>1117.73</v>
      </c>
      <c r="EC12" s="40">
        <v>0</v>
      </c>
      <c r="ED12" s="40">
        <v>144.16</v>
      </c>
      <c r="EE12" s="40">
        <v>1442.2</v>
      </c>
      <c r="EF12" s="40">
        <v>-12725.55</v>
      </c>
      <c r="EG12" s="40">
        <v>12855.3</v>
      </c>
      <c r="EH12" s="40">
        <v>1434.61</v>
      </c>
      <c r="EI12" s="40">
        <v>0</v>
      </c>
      <c r="EJ12" s="40">
        <v>-12819.02</v>
      </c>
      <c r="EK12" s="40">
        <v>68.73</v>
      </c>
      <c r="EL12" s="40">
        <v>1584.64</v>
      </c>
      <c r="EM12" s="40">
        <v>12947.83</v>
      </c>
      <c r="EN12" s="40">
        <v>1772.85</v>
      </c>
      <c r="EO12" s="40">
        <v>0</v>
      </c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</row>
    <row r="13" spans="1:255" x14ac:dyDescent="0.25">
      <c r="A13" s="41" t="s">
        <v>164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f t="shared" si="0"/>
        <v>0</v>
      </c>
      <c r="AA13" s="59"/>
      <c r="AB13" s="60"/>
      <c r="AC13" s="40" t="s">
        <v>4</v>
      </c>
      <c r="AD13" s="40">
        <f>B13+D13+F13+H13+J13+L13+N13+P13+R13+T13+V13+X13</f>
        <v>0</v>
      </c>
      <c r="AE13" s="40">
        <f>+AI13/12*A108</f>
        <v>0</v>
      </c>
      <c r="AF13" s="40">
        <f>+AD13-AE13</f>
        <v>0</v>
      </c>
      <c r="AG13" s="40">
        <f>+C13+E13+G13+I13+K13+M13+O13+Q13+S13+U13+W13+Y13</f>
        <v>0</v>
      </c>
      <c r="AH13" s="40" t="s">
        <v>4</v>
      </c>
      <c r="AI13" s="61">
        <v>0</v>
      </c>
      <c r="AJ13" s="62"/>
      <c r="AK13" s="62"/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7">
        <v>0</v>
      </c>
      <c r="BJ13" s="40">
        <v>0</v>
      </c>
      <c r="BK13" s="40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47">
        <v>0</v>
      </c>
      <c r="BV13" s="40">
        <v>0</v>
      </c>
      <c r="BW13" s="40">
        <v>0</v>
      </c>
      <c r="BX13" s="40">
        <v>0</v>
      </c>
      <c r="BY13" s="48">
        <v>0</v>
      </c>
      <c r="BZ13" s="48">
        <v>0</v>
      </c>
      <c r="CA13" s="48">
        <v>0</v>
      </c>
      <c r="CB13" s="48">
        <v>0</v>
      </c>
      <c r="CC13" s="48">
        <v>0</v>
      </c>
      <c r="CD13" s="48">
        <v>0</v>
      </c>
      <c r="CE13" s="48">
        <v>0</v>
      </c>
      <c r="CF13" s="48">
        <v>0</v>
      </c>
      <c r="CG13" s="48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8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  <c r="DH13" s="40">
        <v>0</v>
      </c>
      <c r="DI13" s="40">
        <v>0</v>
      </c>
      <c r="DJ13" s="40">
        <v>0</v>
      </c>
      <c r="DK13" s="40">
        <v>0</v>
      </c>
      <c r="DL13" s="40">
        <v>0</v>
      </c>
      <c r="DM13" s="40">
        <v>0</v>
      </c>
      <c r="DN13" s="40">
        <v>0</v>
      </c>
      <c r="DO13" s="40">
        <v>0</v>
      </c>
      <c r="DP13" s="40">
        <v>0</v>
      </c>
      <c r="DQ13" s="40">
        <v>0</v>
      </c>
      <c r="DR13" s="40">
        <v>0</v>
      </c>
      <c r="DS13" s="40">
        <v>0</v>
      </c>
      <c r="DT13" s="40">
        <v>0</v>
      </c>
      <c r="DU13" s="40">
        <v>0</v>
      </c>
      <c r="DV13" s="40">
        <v>0</v>
      </c>
      <c r="DW13" s="40">
        <v>0</v>
      </c>
      <c r="DX13" s="40">
        <v>0</v>
      </c>
      <c r="DY13" s="40">
        <v>0</v>
      </c>
      <c r="DZ13" s="40">
        <v>0</v>
      </c>
      <c r="EA13" s="40">
        <v>0</v>
      </c>
      <c r="EB13" s="40">
        <v>0</v>
      </c>
      <c r="EC13" s="40">
        <v>0</v>
      </c>
      <c r="ED13" s="40">
        <v>0</v>
      </c>
      <c r="EE13" s="40">
        <v>0</v>
      </c>
      <c r="EF13" s="40">
        <v>0</v>
      </c>
      <c r="EG13" s="40">
        <v>0</v>
      </c>
      <c r="EH13" s="40">
        <v>0</v>
      </c>
      <c r="EI13" s="40">
        <v>0</v>
      </c>
      <c r="EJ13" s="40">
        <v>0</v>
      </c>
      <c r="EK13" s="40">
        <v>0</v>
      </c>
      <c r="EL13" s="40">
        <v>0</v>
      </c>
      <c r="EM13" s="40">
        <v>0</v>
      </c>
      <c r="EN13" s="40">
        <v>0</v>
      </c>
      <c r="EO13" s="40">
        <v>0</v>
      </c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</row>
    <row r="14" spans="1:255" x14ac:dyDescent="0.25">
      <c r="A14" s="41" t="s">
        <v>165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f t="shared" si="0"/>
        <v>0</v>
      </c>
      <c r="AA14" s="59"/>
      <c r="AB14" s="60"/>
      <c r="AC14" s="40" t="s">
        <v>4</v>
      </c>
      <c r="AD14" s="40">
        <f>B14+D14+F14+H14+J14+L14+N14+P14+R14+T14+V14+X14</f>
        <v>0</v>
      </c>
      <c r="AE14" s="40">
        <f>+AI14/12*A108</f>
        <v>0</v>
      </c>
      <c r="AF14" s="40">
        <f>+AD14-AE14</f>
        <v>0</v>
      </c>
      <c r="AG14" s="40">
        <f>+C14+E14+G14+I14+K14+M14+O14+Q14+S14+U14+W14+Y14</f>
        <v>0</v>
      </c>
      <c r="AH14" s="40" t="s">
        <v>4</v>
      </c>
      <c r="AI14" s="61">
        <v>0</v>
      </c>
      <c r="AJ14" s="62"/>
      <c r="AK14" s="62"/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7">
        <v>0</v>
      </c>
      <c r="BJ14" s="40">
        <v>0</v>
      </c>
      <c r="BK14" s="40">
        <v>0</v>
      </c>
      <c r="BL14" s="48">
        <v>0</v>
      </c>
      <c r="BM14" s="48">
        <v>0</v>
      </c>
      <c r="BN14" s="48">
        <v>0</v>
      </c>
      <c r="BO14" s="48">
        <v>-679.92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47">
        <v>0</v>
      </c>
      <c r="BV14" s="40">
        <v>0</v>
      </c>
      <c r="BW14" s="40">
        <v>0</v>
      </c>
      <c r="BX14" s="40">
        <v>0</v>
      </c>
      <c r="BY14" s="48">
        <v>0</v>
      </c>
      <c r="BZ14" s="48">
        <v>0</v>
      </c>
      <c r="CA14" s="48">
        <v>0</v>
      </c>
      <c r="CB14" s="48">
        <v>0</v>
      </c>
      <c r="CC14" s="48">
        <v>0</v>
      </c>
      <c r="CD14" s="48">
        <v>0</v>
      </c>
      <c r="CE14" s="48">
        <v>0</v>
      </c>
      <c r="CF14" s="48">
        <v>0</v>
      </c>
      <c r="CG14" s="48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8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  <c r="DH14" s="40">
        <v>0</v>
      </c>
      <c r="DI14" s="40">
        <v>0</v>
      </c>
      <c r="DJ14" s="40">
        <v>0</v>
      </c>
      <c r="DK14" s="40">
        <v>0</v>
      </c>
      <c r="DL14" s="40">
        <v>0</v>
      </c>
      <c r="DM14" s="40">
        <v>0</v>
      </c>
      <c r="DN14" s="40">
        <v>0</v>
      </c>
      <c r="DO14" s="40">
        <v>0</v>
      </c>
      <c r="DP14" s="40">
        <v>0</v>
      </c>
      <c r="DQ14" s="40">
        <v>0</v>
      </c>
      <c r="DR14" s="40">
        <v>0</v>
      </c>
      <c r="DS14" s="40">
        <v>0</v>
      </c>
      <c r="DT14" s="40">
        <v>0</v>
      </c>
      <c r="DU14" s="40">
        <v>0</v>
      </c>
      <c r="DV14" s="40">
        <v>0</v>
      </c>
      <c r="DW14" s="40">
        <v>0</v>
      </c>
      <c r="DX14" s="40">
        <v>0</v>
      </c>
      <c r="DY14" s="40">
        <v>0</v>
      </c>
      <c r="DZ14" s="40">
        <v>0</v>
      </c>
      <c r="EA14" s="40">
        <v>0</v>
      </c>
      <c r="EB14" s="40">
        <v>0</v>
      </c>
      <c r="EC14" s="40">
        <v>0</v>
      </c>
      <c r="ED14" s="40">
        <v>0</v>
      </c>
      <c r="EE14" s="40">
        <v>0</v>
      </c>
      <c r="EF14" s="40">
        <v>0</v>
      </c>
      <c r="EG14" s="40">
        <v>0</v>
      </c>
      <c r="EH14" s="40">
        <v>0</v>
      </c>
      <c r="EI14" s="40">
        <v>0</v>
      </c>
      <c r="EJ14" s="40">
        <v>0</v>
      </c>
      <c r="EK14" s="40">
        <v>0</v>
      </c>
      <c r="EL14" s="40">
        <v>0</v>
      </c>
      <c r="EM14" s="40">
        <v>0</v>
      </c>
      <c r="EN14" s="40">
        <v>0</v>
      </c>
      <c r="EO14" s="40">
        <v>0</v>
      </c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</row>
    <row r="15" spans="1:255" x14ac:dyDescent="0.25">
      <c r="A15" s="41" t="s">
        <v>166</v>
      </c>
      <c r="B15" s="40">
        <f>4800+925.68</f>
        <v>5725.68</v>
      </c>
      <c r="C15" s="40">
        <f>4750+883.32</f>
        <v>5633.32</v>
      </c>
      <c r="D15" s="40">
        <f>2375+468.3</f>
        <v>2843.3</v>
      </c>
      <c r="E15" s="40">
        <f>2375+483.29</f>
        <v>2858.29</v>
      </c>
      <c r="F15" s="40">
        <f>2375+1115.4</f>
        <v>3490.4</v>
      </c>
      <c r="G15" s="40">
        <f>2550+916.57</f>
        <v>3466.57</v>
      </c>
      <c r="H15" s="40">
        <f>2450+866</f>
        <v>3316</v>
      </c>
      <c r="I15" s="40">
        <v>2375</v>
      </c>
      <c r="J15" s="40">
        <f>2375+420.85</f>
        <v>2795.85</v>
      </c>
      <c r="K15" s="40">
        <f>2550+1235.57</f>
        <v>3785.5699999999997</v>
      </c>
      <c r="L15" s="40">
        <v>2375</v>
      </c>
      <c r="M15" s="40">
        <f>875+1090.65</f>
        <v>1965.65</v>
      </c>
      <c r="N15" s="40">
        <f>2375+1109.14</f>
        <v>3484.1400000000003</v>
      </c>
      <c r="O15" s="40">
        <f>4925+881.81</f>
        <v>5806.8099999999995</v>
      </c>
      <c r="P15" s="40">
        <f>2375+437.24</f>
        <v>2812.24</v>
      </c>
      <c r="Q15" s="40">
        <f>2550+422.09</f>
        <v>2972.09</v>
      </c>
      <c r="R15" s="40">
        <f>2375+977.82</f>
        <v>3352.82</v>
      </c>
      <c r="S15" s="40">
        <f>2550+1130.59</f>
        <v>3680.59</v>
      </c>
      <c r="T15" s="40">
        <f>2375+117.83+2024.43</f>
        <v>4517.26</v>
      </c>
      <c r="U15" s="40">
        <f>2550+908.24</f>
        <v>3458.24</v>
      </c>
      <c r="V15" s="40">
        <f>2375+227.26+392.3</f>
        <v>2994.5600000000004</v>
      </c>
      <c r="W15" s="40">
        <f>2550+419.16</f>
        <v>2969.16</v>
      </c>
      <c r="X15" s="40">
        <v>500</v>
      </c>
      <c r="Y15" s="40">
        <f>1801.56+1181.19</f>
        <v>2982.75</v>
      </c>
      <c r="Z15" s="40">
        <f t="shared" si="0"/>
        <v>-2482.75</v>
      </c>
      <c r="AA15" s="107">
        <v>40000</v>
      </c>
      <c r="AB15" s="60">
        <v>46000</v>
      </c>
      <c r="AC15" s="40" t="s">
        <v>4</v>
      </c>
      <c r="AD15" s="40">
        <f>B15+D15+F15+H15+J15+L15+N15+P15+R15+T15+V15+X15</f>
        <v>38207.25</v>
      </c>
      <c r="AE15" s="40">
        <f>+AI15/12*A108</f>
        <v>65000</v>
      </c>
      <c r="AF15" s="40">
        <f>+AD15-AE15</f>
        <v>-26792.75</v>
      </c>
      <c r="AG15" s="40">
        <f>+C15+E15+G15+I15+K15+M15+O15+Q15+S15+U15+W15+Y15</f>
        <v>41954.039999999994</v>
      </c>
      <c r="AH15" s="40" t="s">
        <v>4</v>
      </c>
      <c r="AI15" s="63">
        <v>65000</v>
      </c>
      <c r="AJ15" s="62">
        <f>+AD15/AI15</f>
        <v>0.58780384615384618</v>
      </c>
      <c r="AK15" s="62"/>
      <c r="AL15" s="40">
        <f>-1801.56+1181.19</f>
        <v>-620.36999999999989</v>
      </c>
      <c r="AM15" s="40">
        <f>2750+965.06</f>
        <v>3715.06</v>
      </c>
      <c r="AN15" s="40">
        <f>950.36+2925</f>
        <v>3875.36</v>
      </c>
      <c r="AO15" s="40">
        <f>2925+391.8</f>
        <v>3316.8</v>
      </c>
      <c r="AP15" s="40">
        <f>942.87+2925</f>
        <v>3867.87</v>
      </c>
      <c r="AQ15" s="40">
        <f>2925+915.41</f>
        <v>3840.41</v>
      </c>
      <c r="AR15" s="40">
        <f>376.21+2925</f>
        <v>3301.21</v>
      </c>
      <c r="AS15" s="40">
        <f>894.95+2925</f>
        <v>3819.95</v>
      </c>
      <c r="AT15" s="40">
        <f>2925+850.72</f>
        <v>3775.7200000000003</v>
      </c>
      <c r="AU15" s="40">
        <f>2750+395.7</f>
        <v>3145.7</v>
      </c>
      <c r="AV15" s="40">
        <f>942.62+3130</f>
        <v>4072.62</v>
      </c>
      <c r="AW15" s="40">
        <f>5850+889.52</f>
        <v>6739.52</v>
      </c>
      <c r="AX15" s="40">
        <f>42.03+18.58+327.68+175</f>
        <v>563.29</v>
      </c>
      <c r="AY15" s="40">
        <f>2925+881.79</f>
        <v>3806.79</v>
      </c>
      <c r="AZ15" s="40">
        <f>2925+877.98</f>
        <v>3802.98</v>
      </c>
      <c r="BA15" s="40">
        <f>5675+379.52</f>
        <v>6054.52</v>
      </c>
      <c r="BB15" s="40">
        <f>175+918.86</f>
        <v>1093.8600000000001</v>
      </c>
      <c r="BC15" s="41">
        <f>2925+907.46</f>
        <v>3832.46</v>
      </c>
      <c r="BD15" s="40">
        <f>368.4+2925</f>
        <v>3293.4</v>
      </c>
      <c r="BE15" s="40">
        <f>2925+876.18</f>
        <v>3801.18</v>
      </c>
      <c r="BF15" s="40">
        <f>25.84+2925</f>
        <v>2950.84</v>
      </c>
      <c r="BG15" s="40">
        <f>2925+372.3</f>
        <v>3297.3</v>
      </c>
      <c r="BH15" s="40">
        <f>919.95+2925</f>
        <v>3844.95</v>
      </c>
      <c r="BI15" s="47">
        <f>5675+40.45</f>
        <v>5715.45</v>
      </c>
      <c r="BJ15" s="40">
        <f>253.39+4040.76</f>
        <v>4294.1500000000005</v>
      </c>
      <c r="BK15" s="40">
        <f>2750+622.28</f>
        <v>3372.2799999999997</v>
      </c>
      <c r="BL15" s="40">
        <f>32.82+2925</f>
        <v>2957.82</v>
      </c>
      <c r="BM15" s="40">
        <f>245.9+2750</f>
        <v>2995.9</v>
      </c>
      <c r="BN15" s="48">
        <f>612.92+2925</f>
        <v>3537.92</v>
      </c>
      <c r="BO15" s="40">
        <f>87.19+2130</f>
        <v>2217.19</v>
      </c>
      <c r="BP15" s="64">
        <f>237.67+2925</f>
        <v>3162.67</v>
      </c>
      <c r="BQ15" s="48">
        <f>691.46+3440</f>
        <v>4131.46</v>
      </c>
      <c r="BR15" s="40">
        <f>21.1+198.15+2925</f>
        <v>3144.25</v>
      </c>
      <c r="BS15" s="48">
        <f>222.26+37.97+3205</f>
        <v>3465.23</v>
      </c>
      <c r="BT15" s="48">
        <f>3522.5+35.28+686.54</f>
        <v>4244.32</v>
      </c>
      <c r="BU15" s="47">
        <f>36.37+5928.5</f>
        <v>5964.87</v>
      </c>
      <c r="BV15" s="40">
        <v>8378.4500000000007</v>
      </c>
      <c r="BW15" s="40">
        <v>3490</v>
      </c>
      <c r="BX15" s="64">
        <f>28.5+2925</f>
        <v>2953.5</v>
      </c>
      <c r="BY15" s="40">
        <f>3190+233.25</f>
        <v>3423.25</v>
      </c>
      <c r="BZ15" s="64">
        <f>2770+697.06</f>
        <v>3467.06</v>
      </c>
      <c r="CA15" s="48">
        <f>2925+7.68</f>
        <v>2932.68</v>
      </c>
      <c r="CB15" s="64">
        <f>220.74+3275</f>
        <v>3495.74</v>
      </c>
      <c r="CC15" s="64">
        <f>3642.5+665.75</f>
        <v>4308.25</v>
      </c>
      <c r="CD15" s="48">
        <v>2925</v>
      </c>
      <c r="CE15" s="64">
        <f>3518.05+25.09</f>
        <v>3543.1400000000003</v>
      </c>
      <c r="CF15" s="48">
        <f>2925+243.95</f>
        <v>3168.95</v>
      </c>
      <c r="CG15" s="48">
        <f>709.92+5940</f>
        <v>6649.92</v>
      </c>
      <c r="CH15" s="64">
        <f>4000+167</f>
        <v>4167</v>
      </c>
      <c r="CI15" s="64">
        <v>5667</v>
      </c>
      <c r="CJ15" s="64">
        <f>1167+256.13</f>
        <v>1423.13</v>
      </c>
      <c r="CK15" s="64">
        <v>2917</v>
      </c>
      <c r="CL15" s="64">
        <f>6167+712.06</f>
        <v>6879.0599999999995</v>
      </c>
      <c r="CM15" s="64">
        <v>25547.15</v>
      </c>
      <c r="CN15" s="64">
        <f>2917+214.64</f>
        <v>3131.64</v>
      </c>
      <c r="CO15" s="64">
        <v>2917</v>
      </c>
      <c r="CP15" s="64">
        <f>2917+662.46</f>
        <v>3579.46</v>
      </c>
      <c r="CQ15" s="64">
        <f>3084+19.93</f>
        <v>3103.93</v>
      </c>
      <c r="CR15" s="40">
        <f>5500+236.44</f>
        <v>5736.44</v>
      </c>
      <c r="CS15" s="48">
        <f>2750+705.44</f>
        <v>3455.44</v>
      </c>
      <c r="CT15" s="64">
        <v>4167</v>
      </c>
      <c r="CU15" s="64">
        <v>2922</v>
      </c>
      <c r="CV15" s="64">
        <v>7677</v>
      </c>
      <c r="CW15" s="64">
        <f>248.88+2922</f>
        <v>3170.88</v>
      </c>
      <c r="CX15" s="64">
        <f>2922+672.82+18.02</f>
        <v>3612.84</v>
      </c>
      <c r="CY15" s="64">
        <f>334+13.91</f>
        <v>347.91</v>
      </c>
      <c r="CZ15" s="64">
        <f>4755+5.84+208.93</f>
        <v>4969.7700000000004</v>
      </c>
      <c r="DA15" s="64">
        <f>2922+661.45</f>
        <v>3583.45</v>
      </c>
      <c r="DB15" s="64">
        <f>2922+4.67</f>
        <v>2926.67</v>
      </c>
      <c r="DC15" s="64">
        <f>247.68+2922</f>
        <v>3169.68</v>
      </c>
      <c r="DD15" s="64">
        <f>2922+720.91</f>
        <v>3642.91</v>
      </c>
      <c r="DE15" s="40">
        <v>5688</v>
      </c>
      <c r="DF15" s="64">
        <v>6599.27</v>
      </c>
      <c r="DG15" s="64">
        <v>2997</v>
      </c>
      <c r="DH15" s="64">
        <v>5097</v>
      </c>
      <c r="DI15" s="64">
        <v>2922</v>
      </c>
      <c r="DJ15" s="64">
        <v>6297</v>
      </c>
      <c r="DK15" s="64">
        <v>167</v>
      </c>
      <c r="DL15" s="64">
        <v>3137</v>
      </c>
      <c r="DM15" s="64">
        <v>2922</v>
      </c>
      <c r="DN15" s="64">
        <v>5262</v>
      </c>
      <c r="DO15" s="64">
        <v>3016.5</v>
      </c>
      <c r="DP15" s="64">
        <v>3097</v>
      </c>
      <c r="DQ15" s="40">
        <v>5688</v>
      </c>
      <c r="DR15" s="64">
        <v>26642.5</v>
      </c>
      <c r="DS15" s="64">
        <v>6308.5</v>
      </c>
      <c r="DT15" s="64">
        <v>2367</v>
      </c>
      <c r="DU15" s="64">
        <v>3403</v>
      </c>
      <c r="DV15" s="64">
        <v>3449.5</v>
      </c>
      <c r="DW15" s="64">
        <v>4321.5</v>
      </c>
      <c r="DX15" s="64">
        <v>3482</v>
      </c>
      <c r="DY15" s="64">
        <v>4488</v>
      </c>
      <c r="DZ15" s="64">
        <v>14813.5</v>
      </c>
      <c r="EA15" s="64">
        <v>3833.5</v>
      </c>
      <c r="EB15" s="64">
        <v>6964.51</v>
      </c>
      <c r="EC15" s="64">
        <v>16612.8</v>
      </c>
      <c r="ED15" s="64">
        <v>26162.75</v>
      </c>
      <c r="EE15" s="64">
        <v>2514.42</v>
      </c>
      <c r="EF15" s="64">
        <v>11138.99</v>
      </c>
      <c r="EG15" s="64">
        <v>5022.95</v>
      </c>
      <c r="EH15" s="64">
        <v>8248.73</v>
      </c>
      <c r="EI15" s="64">
        <v>5361.19</v>
      </c>
      <c r="EJ15" s="64">
        <v>4427.3100000000004</v>
      </c>
      <c r="EK15" s="64">
        <v>5881.37</v>
      </c>
      <c r="EL15" s="64">
        <v>5105.37</v>
      </c>
      <c r="EM15" s="64">
        <v>10469.1</v>
      </c>
      <c r="EN15" s="64">
        <v>12302.28</v>
      </c>
      <c r="EO15" s="64">
        <v>8394.51</v>
      </c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</row>
    <row r="16" spans="1:255" x14ac:dyDescent="0.25">
      <c r="A16" s="41" t="s">
        <v>236</v>
      </c>
      <c r="AA16" s="107">
        <v>36816</v>
      </c>
      <c r="AB16" s="60">
        <v>30812</v>
      </c>
      <c r="AC16" s="40"/>
      <c r="AD16" s="40"/>
      <c r="AE16" s="40"/>
      <c r="AF16" s="40"/>
      <c r="AG16" s="40"/>
      <c r="AH16" s="40"/>
      <c r="AI16" s="105"/>
      <c r="AJ16" s="62"/>
      <c r="AK16" s="62"/>
      <c r="AX16" s="40"/>
      <c r="AY16" s="40"/>
      <c r="AZ16" s="40"/>
      <c r="BA16" s="40"/>
      <c r="BB16" s="40"/>
      <c r="BC16" s="41"/>
      <c r="BD16" s="40"/>
      <c r="BE16" s="40"/>
      <c r="BF16" s="40"/>
      <c r="BG16" s="40"/>
      <c r="BH16" s="40"/>
      <c r="BI16" s="47"/>
      <c r="BJ16" s="40"/>
      <c r="BK16" s="40"/>
      <c r="BL16" s="40"/>
      <c r="BM16" s="40"/>
      <c r="BN16" s="48"/>
      <c r="BO16" s="40"/>
      <c r="BP16" s="106"/>
      <c r="BQ16" s="48"/>
      <c r="BR16" s="40"/>
      <c r="BS16" s="48"/>
      <c r="BT16" s="48"/>
      <c r="BU16" s="47"/>
      <c r="BV16" s="40"/>
      <c r="BW16" s="40"/>
      <c r="BX16" s="106"/>
      <c r="BY16" s="40"/>
      <c r="BZ16" s="106"/>
      <c r="CA16" s="48"/>
      <c r="CB16" s="106"/>
      <c r="CC16" s="106"/>
      <c r="CD16" s="48"/>
      <c r="CE16" s="106"/>
      <c r="CF16" s="48"/>
      <c r="CG16" s="48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40"/>
      <c r="CS16" s="48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40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40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ht="16.2" thickBot="1" x14ac:dyDescent="0.35">
      <c r="A17" s="47" t="s">
        <v>167</v>
      </c>
      <c r="B17" s="65">
        <f t="shared" ref="B17:Z17" si="1">+B11+B12+B13+B14+B15</f>
        <v>5725.68</v>
      </c>
      <c r="C17" s="65">
        <f t="shared" si="1"/>
        <v>5633.32</v>
      </c>
      <c r="D17" s="65">
        <f t="shared" si="1"/>
        <v>2843.3</v>
      </c>
      <c r="E17" s="65">
        <f t="shared" si="1"/>
        <v>12858.29</v>
      </c>
      <c r="F17" s="65">
        <f t="shared" si="1"/>
        <v>13490.4</v>
      </c>
      <c r="G17" s="65">
        <f t="shared" si="1"/>
        <v>3466.57</v>
      </c>
      <c r="H17" s="65">
        <f t="shared" si="1"/>
        <v>3316</v>
      </c>
      <c r="I17" s="65">
        <f t="shared" si="1"/>
        <v>2375</v>
      </c>
      <c r="J17" s="65">
        <f t="shared" si="1"/>
        <v>2795.85</v>
      </c>
      <c r="K17" s="65">
        <f t="shared" si="1"/>
        <v>3785.5699999999997</v>
      </c>
      <c r="L17" s="65">
        <f t="shared" si="1"/>
        <v>2375</v>
      </c>
      <c r="M17" s="65">
        <f t="shared" si="1"/>
        <v>1965.65</v>
      </c>
      <c r="N17" s="65">
        <f t="shared" si="1"/>
        <v>3484.1400000000003</v>
      </c>
      <c r="O17" s="65">
        <f t="shared" si="1"/>
        <v>5806.8099999999995</v>
      </c>
      <c r="P17" s="65">
        <f t="shared" si="1"/>
        <v>2812.24</v>
      </c>
      <c r="Q17" s="65">
        <f t="shared" si="1"/>
        <v>2972.09</v>
      </c>
      <c r="R17" s="65">
        <f t="shared" si="1"/>
        <v>3352.82</v>
      </c>
      <c r="S17" s="65">
        <f t="shared" si="1"/>
        <v>3680.59</v>
      </c>
      <c r="T17" s="65">
        <f t="shared" si="1"/>
        <v>4517.26</v>
      </c>
      <c r="U17" s="65">
        <f t="shared" si="1"/>
        <v>3458.24</v>
      </c>
      <c r="V17" s="65">
        <f t="shared" si="1"/>
        <v>2994.5600000000004</v>
      </c>
      <c r="W17" s="65">
        <f t="shared" si="1"/>
        <v>2969.16</v>
      </c>
      <c r="X17" s="65">
        <f t="shared" si="1"/>
        <v>500</v>
      </c>
      <c r="Y17" s="65">
        <f t="shared" si="1"/>
        <v>2982.75</v>
      </c>
      <c r="Z17" s="65">
        <f t="shared" si="1"/>
        <v>-2482.75</v>
      </c>
      <c r="AA17" s="109">
        <v>121472</v>
      </c>
      <c r="AB17" s="110">
        <v>124812</v>
      </c>
      <c r="AC17" s="40" t="s">
        <v>4</v>
      </c>
      <c r="AD17" s="65">
        <f>+AD11+AD12+AD13+AD14+AD15</f>
        <v>48207.25</v>
      </c>
      <c r="AE17" s="65">
        <f>+AE11+AE12+AE13+AE14+AE15</f>
        <v>75000</v>
      </c>
      <c r="AF17" s="65">
        <f>+AF11+AF12+AF13+AF14+AF15</f>
        <v>-26792.75</v>
      </c>
      <c r="AG17" s="65">
        <f>+AG11+AG12+AG13+AG14+AG15</f>
        <v>51954.039999999994</v>
      </c>
      <c r="AH17" s="40" t="s">
        <v>4</v>
      </c>
      <c r="AI17" s="66">
        <f>+AI11+AI12+AI13+AI14+AI15</f>
        <v>75000</v>
      </c>
      <c r="AJ17" s="62">
        <f>+AD17/AI17</f>
        <v>0.64276333333333335</v>
      </c>
      <c r="AK17" s="62"/>
      <c r="AL17" s="65">
        <f t="shared" ref="AL17:BQ17" si="2">+AL11+AL12+AL13+AL14+AL15</f>
        <v>-620.36999999999989</v>
      </c>
      <c r="AM17" s="65">
        <f t="shared" si="2"/>
        <v>3715.06</v>
      </c>
      <c r="AN17" s="65">
        <f t="shared" si="2"/>
        <v>3875.36</v>
      </c>
      <c r="AO17" s="65">
        <f t="shared" si="2"/>
        <v>3316.8</v>
      </c>
      <c r="AP17" s="65">
        <f t="shared" si="2"/>
        <v>3867.87</v>
      </c>
      <c r="AQ17" s="65">
        <f t="shared" si="2"/>
        <v>3840.41</v>
      </c>
      <c r="AR17" s="65">
        <f t="shared" si="2"/>
        <v>3301.21</v>
      </c>
      <c r="AS17" s="65">
        <f t="shared" si="2"/>
        <v>3819.95</v>
      </c>
      <c r="AT17" s="65">
        <f t="shared" si="2"/>
        <v>3775.7200000000003</v>
      </c>
      <c r="AU17" s="65">
        <f t="shared" si="2"/>
        <v>3145.7</v>
      </c>
      <c r="AV17" s="65">
        <f t="shared" si="2"/>
        <v>14072.619999999999</v>
      </c>
      <c r="AW17" s="65">
        <f t="shared" si="2"/>
        <v>6739.52</v>
      </c>
      <c r="AX17" s="65">
        <f t="shared" si="2"/>
        <v>563.29</v>
      </c>
      <c r="AY17" s="65">
        <f t="shared" si="2"/>
        <v>3806.79</v>
      </c>
      <c r="AZ17" s="65">
        <f t="shared" si="2"/>
        <v>3802.98</v>
      </c>
      <c r="BA17" s="65">
        <f t="shared" si="2"/>
        <v>6054.52</v>
      </c>
      <c r="BB17" s="65">
        <f t="shared" si="2"/>
        <v>1093.8600000000001</v>
      </c>
      <c r="BC17" s="65">
        <f t="shared" si="2"/>
        <v>3832.46</v>
      </c>
      <c r="BD17" s="65">
        <f t="shared" si="2"/>
        <v>3293.4</v>
      </c>
      <c r="BE17" s="65">
        <f t="shared" si="2"/>
        <v>3801.18</v>
      </c>
      <c r="BF17" s="65">
        <f t="shared" si="2"/>
        <v>2950.84</v>
      </c>
      <c r="BG17" s="65">
        <f t="shared" si="2"/>
        <v>3297.3</v>
      </c>
      <c r="BH17" s="65">
        <f t="shared" si="2"/>
        <v>3844.95</v>
      </c>
      <c r="BI17" s="65">
        <f t="shared" si="2"/>
        <v>15715.45</v>
      </c>
      <c r="BJ17" s="65">
        <f t="shared" si="2"/>
        <v>4294.1500000000005</v>
      </c>
      <c r="BK17" s="65">
        <f t="shared" si="2"/>
        <v>3372.2799999999997</v>
      </c>
      <c r="BL17" s="65">
        <f t="shared" si="2"/>
        <v>2957.82</v>
      </c>
      <c r="BM17" s="65">
        <f t="shared" si="2"/>
        <v>2995.9</v>
      </c>
      <c r="BN17" s="65">
        <f t="shared" si="2"/>
        <v>3537.92</v>
      </c>
      <c r="BO17" s="65">
        <f t="shared" si="2"/>
        <v>1537.27</v>
      </c>
      <c r="BP17" s="65">
        <f t="shared" si="2"/>
        <v>3162.67</v>
      </c>
      <c r="BQ17" s="65">
        <f t="shared" si="2"/>
        <v>4131.46</v>
      </c>
      <c r="BR17" s="65">
        <f t="shared" ref="BR17:CW17" si="3">+BR11+BR12+BR13+BR14+BR15</f>
        <v>3144.25</v>
      </c>
      <c r="BS17" s="65">
        <f t="shared" si="3"/>
        <v>3465.23</v>
      </c>
      <c r="BT17" s="65">
        <f t="shared" si="3"/>
        <v>15244.32</v>
      </c>
      <c r="BU17" s="67">
        <f t="shared" si="3"/>
        <v>5964.87</v>
      </c>
      <c r="BV17" s="65">
        <f t="shared" si="3"/>
        <v>8421.0300000000007</v>
      </c>
      <c r="BW17" s="65">
        <f t="shared" si="3"/>
        <v>4202.3500000000004</v>
      </c>
      <c r="BX17" s="65">
        <f t="shared" si="3"/>
        <v>2953.5</v>
      </c>
      <c r="BY17" s="65">
        <f t="shared" si="3"/>
        <v>3423.25</v>
      </c>
      <c r="BZ17" s="65">
        <f t="shared" si="3"/>
        <v>3467.06</v>
      </c>
      <c r="CA17" s="65">
        <f t="shared" si="3"/>
        <v>2932.68</v>
      </c>
      <c r="CB17" s="65">
        <f t="shared" si="3"/>
        <v>3495.74</v>
      </c>
      <c r="CC17" s="65">
        <f t="shared" si="3"/>
        <v>4308.25</v>
      </c>
      <c r="CD17" s="65">
        <f t="shared" si="3"/>
        <v>2925</v>
      </c>
      <c r="CE17" s="65">
        <f t="shared" si="3"/>
        <v>3543.1400000000003</v>
      </c>
      <c r="CF17" s="65">
        <f t="shared" si="3"/>
        <v>3168.95</v>
      </c>
      <c r="CG17" s="65">
        <f t="shared" si="3"/>
        <v>21649.919999999998</v>
      </c>
      <c r="CH17" s="65">
        <f t="shared" si="3"/>
        <v>4440.22</v>
      </c>
      <c r="CI17" s="65">
        <f t="shared" si="3"/>
        <v>6379.6</v>
      </c>
      <c r="CJ17" s="65">
        <f t="shared" si="3"/>
        <v>1423.13</v>
      </c>
      <c r="CK17" s="65">
        <f t="shared" si="3"/>
        <v>2917</v>
      </c>
      <c r="CL17" s="65">
        <f t="shared" si="3"/>
        <v>6879.0599999999995</v>
      </c>
      <c r="CM17" s="65">
        <f t="shared" si="3"/>
        <v>25547.15</v>
      </c>
      <c r="CN17" s="65">
        <f t="shared" si="3"/>
        <v>3131.64</v>
      </c>
      <c r="CO17" s="65">
        <f t="shared" si="3"/>
        <v>2917</v>
      </c>
      <c r="CP17" s="65">
        <f t="shared" si="3"/>
        <v>3579.46</v>
      </c>
      <c r="CQ17" s="65">
        <f t="shared" si="3"/>
        <v>3103.93</v>
      </c>
      <c r="CR17" s="65">
        <f t="shared" si="3"/>
        <v>5736.44</v>
      </c>
      <c r="CS17" s="65">
        <f t="shared" si="3"/>
        <v>18455.439999999999</v>
      </c>
      <c r="CT17" s="65">
        <f t="shared" si="3"/>
        <v>4427.51</v>
      </c>
      <c r="CU17" s="65">
        <f t="shared" si="3"/>
        <v>3630.06</v>
      </c>
      <c r="CV17" s="65">
        <f t="shared" si="3"/>
        <v>7677</v>
      </c>
      <c r="CW17" s="65">
        <f t="shared" si="3"/>
        <v>3170.88</v>
      </c>
      <c r="CX17" s="65">
        <f t="shared" ref="CX17:EC17" si="4">+CX11+CX12+CX13+CX14+CX15</f>
        <v>3612.84</v>
      </c>
      <c r="CY17" s="65">
        <f t="shared" si="4"/>
        <v>347.91</v>
      </c>
      <c r="CZ17" s="65">
        <f t="shared" si="4"/>
        <v>4969.7700000000004</v>
      </c>
      <c r="DA17" s="65">
        <f t="shared" si="4"/>
        <v>3583.45</v>
      </c>
      <c r="DB17" s="65">
        <f t="shared" si="4"/>
        <v>2926.67</v>
      </c>
      <c r="DC17" s="65">
        <f t="shared" si="4"/>
        <v>3169.68</v>
      </c>
      <c r="DD17" s="65">
        <f t="shared" si="4"/>
        <v>3642.91</v>
      </c>
      <c r="DE17" s="65">
        <f t="shared" si="4"/>
        <v>20688</v>
      </c>
      <c r="DF17" s="65">
        <f t="shared" si="4"/>
        <v>6643.3700000000008</v>
      </c>
      <c r="DG17" s="65">
        <f t="shared" si="4"/>
        <v>3202.93</v>
      </c>
      <c r="DH17" s="65">
        <f t="shared" si="4"/>
        <v>6239.85</v>
      </c>
      <c r="DI17" s="65">
        <f t="shared" si="4"/>
        <v>3006.79</v>
      </c>
      <c r="DJ17" s="65">
        <f t="shared" si="4"/>
        <v>7439.1</v>
      </c>
      <c r="DK17" s="65">
        <f t="shared" si="4"/>
        <v>196.54</v>
      </c>
      <c r="DL17" s="65">
        <f t="shared" si="4"/>
        <v>3175.65</v>
      </c>
      <c r="DM17" s="65">
        <f t="shared" si="4"/>
        <v>4016.06</v>
      </c>
      <c r="DN17" s="65">
        <f t="shared" si="4"/>
        <v>5281.79</v>
      </c>
      <c r="DO17" s="65">
        <f t="shared" si="4"/>
        <v>3090.5</v>
      </c>
      <c r="DP17" s="65">
        <f t="shared" si="4"/>
        <v>14245.17</v>
      </c>
      <c r="DQ17" s="65">
        <f t="shared" si="4"/>
        <v>10688</v>
      </c>
      <c r="DR17" s="65">
        <f t="shared" si="4"/>
        <v>26763.41</v>
      </c>
      <c r="DS17" s="65">
        <f t="shared" si="4"/>
        <v>7437.53</v>
      </c>
      <c r="DT17" s="65">
        <f t="shared" si="4"/>
        <v>2414.33</v>
      </c>
      <c r="DU17" s="65">
        <f t="shared" si="4"/>
        <v>3473.83</v>
      </c>
      <c r="DV17" s="65">
        <f t="shared" si="4"/>
        <v>3449.5</v>
      </c>
      <c r="DW17" s="65">
        <f t="shared" si="4"/>
        <v>5534.82</v>
      </c>
      <c r="DX17" s="65">
        <f t="shared" si="4"/>
        <v>3482</v>
      </c>
      <c r="DY17" s="65">
        <f t="shared" si="4"/>
        <v>5549.21</v>
      </c>
      <c r="DZ17" s="65">
        <f t="shared" si="4"/>
        <v>14840.79</v>
      </c>
      <c r="EA17" s="65">
        <f t="shared" si="4"/>
        <v>3926.1</v>
      </c>
      <c r="EB17" s="65">
        <f t="shared" si="4"/>
        <v>8082.24</v>
      </c>
      <c r="EC17" s="65">
        <f t="shared" si="4"/>
        <v>31612.799999999999</v>
      </c>
      <c r="ED17" s="65">
        <f t="shared" ref="ED17:EO17" si="5">+ED11+ED12+ED13+ED14+ED15</f>
        <v>26306.91</v>
      </c>
      <c r="EE17" s="65">
        <f t="shared" si="5"/>
        <v>3956.62</v>
      </c>
      <c r="EF17" s="65">
        <f t="shared" si="5"/>
        <v>-1586.5599999999995</v>
      </c>
      <c r="EG17" s="65">
        <f t="shared" si="5"/>
        <v>17878.25</v>
      </c>
      <c r="EH17" s="65">
        <f t="shared" si="5"/>
        <v>9683.34</v>
      </c>
      <c r="EI17" s="65">
        <f t="shared" si="5"/>
        <v>5361.19</v>
      </c>
      <c r="EJ17" s="65">
        <f t="shared" si="5"/>
        <v>-8391.7099999999991</v>
      </c>
      <c r="EK17" s="65">
        <f t="shared" si="5"/>
        <v>5950.0999999999995</v>
      </c>
      <c r="EL17" s="65">
        <f t="shared" si="5"/>
        <v>21690.01</v>
      </c>
      <c r="EM17" s="65">
        <f t="shared" si="5"/>
        <v>23416.93</v>
      </c>
      <c r="EN17" s="65">
        <f t="shared" si="5"/>
        <v>14075.130000000001</v>
      </c>
      <c r="EO17" s="65">
        <f t="shared" si="5"/>
        <v>8394.51</v>
      </c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</row>
    <row r="18" spans="1:255" ht="15.6" thickTop="1" x14ac:dyDescent="0.25">
      <c r="A18" s="41"/>
      <c r="AA18" s="59"/>
      <c r="AB18" s="60"/>
      <c r="AC18" s="40" t="s">
        <v>4</v>
      </c>
      <c r="AD18" s="40"/>
      <c r="AE18" s="40"/>
      <c r="AF18" s="40"/>
      <c r="AG18" s="40"/>
      <c r="AH18" s="40" t="s">
        <v>4</v>
      </c>
      <c r="AI18" s="61"/>
      <c r="AJ18" s="62"/>
      <c r="AK18" s="62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7"/>
      <c r="BV18" s="40"/>
      <c r="BW18" s="40"/>
      <c r="BX18" s="40"/>
      <c r="BY18" s="40"/>
      <c r="CA18" s="40"/>
      <c r="CB18" s="40"/>
      <c r="CC18" s="40"/>
      <c r="CD18" s="40"/>
      <c r="CF18" s="40"/>
      <c r="CG18" s="41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1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 t="s">
        <v>157</v>
      </c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</row>
    <row r="19" spans="1:255" s="101" customFormat="1" ht="15.6" x14ac:dyDescent="0.3">
      <c r="A19" s="92" t="s">
        <v>168</v>
      </c>
      <c r="B19" s="96">
        <f t="shared" ref="B19:Z19" si="6">+B9+B7+B17</f>
        <v>116449.66</v>
      </c>
      <c r="C19" s="96">
        <f t="shared" si="6"/>
        <v>110375.31</v>
      </c>
      <c r="D19" s="96">
        <f t="shared" si="6"/>
        <v>102130.15000000001</v>
      </c>
      <c r="E19" s="96">
        <f t="shared" si="6"/>
        <v>92755.9</v>
      </c>
      <c r="F19" s="96">
        <f t="shared" si="6"/>
        <v>132654.18</v>
      </c>
      <c r="G19" s="96">
        <f t="shared" si="6"/>
        <v>117092.5</v>
      </c>
      <c r="H19" s="96">
        <f t="shared" si="6"/>
        <v>106253.24</v>
      </c>
      <c r="I19" s="96">
        <f t="shared" si="6"/>
        <v>121579.99</v>
      </c>
      <c r="J19" s="96">
        <f t="shared" si="6"/>
        <v>95600.41</v>
      </c>
      <c r="K19" s="96">
        <f t="shared" si="6"/>
        <v>100392.76000000001</v>
      </c>
      <c r="L19" s="96">
        <f t="shared" si="6"/>
        <v>113292.11</v>
      </c>
      <c r="M19" s="96">
        <f t="shared" si="6"/>
        <v>114911.57999999999</v>
      </c>
      <c r="N19" s="96">
        <f t="shared" si="6"/>
        <v>101060.91</v>
      </c>
      <c r="O19" s="96">
        <f t="shared" si="6"/>
        <v>98165.74</v>
      </c>
      <c r="P19" s="96">
        <f t="shared" si="6"/>
        <v>97418.94</v>
      </c>
      <c r="Q19" s="96">
        <f t="shared" si="6"/>
        <v>84136.8</v>
      </c>
      <c r="R19" s="96">
        <f t="shared" si="6"/>
        <v>88222.930000000008</v>
      </c>
      <c r="S19" s="96">
        <f t="shared" si="6"/>
        <v>138161.94</v>
      </c>
      <c r="T19" s="96">
        <f t="shared" si="6"/>
        <v>93167.079999999987</v>
      </c>
      <c r="U19" s="96">
        <f t="shared" si="6"/>
        <v>83512.850000000006</v>
      </c>
      <c r="V19" s="96">
        <f t="shared" si="6"/>
        <v>154015.85999999999</v>
      </c>
      <c r="W19" s="96">
        <f t="shared" si="6"/>
        <v>123493.66</v>
      </c>
      <c r="X19" s="96">
        <f t="shared" si="6"/>
        <v>149638.85999999999</v>
      </c>
      <c r="Y19" s="96">
        <f t="shared" si="6"/>
        <v>206445.91</v>
      </c>
      <c r="Z19" s="96">
        <f t="shared" si="6"/>
        <v>-56807.05000000001</v>
      </c>
      <c r="AA19" s="102">
        <v>1421816</v>
      </c>
      <c r="AB19" s="103">
        <v>1492812</v>
      </c>
      <c r="AC19" s="96" t="s">
        <v>4</v>
      </c>
      <c r="AD19" s="96">
        <f>+AD9+AD7+AD17</f>
        <v>1349904.3299999998</v>
      </c>
      <c r="AE19" s="96">
        <f>+AE9+AE7+AE17</f>
        <v>1695000</v>
      </c>
      <c r="AF19" s="96">
        <f>+AF9+AF7+AF17</f>
        <v>-345095.67000000016</v>
      </c>
      <c r="AG19" s="96">
        <f>+AG9+AG7+AG17</f>
        <v>1391024.94</v>
      </c>
      <c r="AH19" s="96" t="s">
        <v>4</v>
      </c>
      <c r="AI19" s="97">
        <f>+AI9+AI7+AI17</f>
        <v>1695000</v>
      </c>
      <c r="AJ19" s="98">
        <f>+AD19/AI19</f>
        <v>0.79640373451327429</v>
      </c>
      <c r="AK19" s="98"/>
      <c r="AL19" s="96">
        <f t="shared" ref="AL19:BR19" si="7">+AL9+AL7+AL17</f>
        <v>238956.09</v>
      </c>
      <c r="AM19" s="96">
        <f t="shared" si="7"/>
        <v>129082.2</v>
      </c>
      <c r="AN19" s="96">
        <f t="shared" si="7"/>
        <v>115478.47</v>
      </c>
      <c r="AO19" s="96">
        <f t="shared" si="7"/>
        <v>104739.15000000001</v>
      </c>
      <c r="AP19" s="96">
        <f t="shared" si="7"/>
        <v>81542.14</v>
      </c>
      <c r="AQ19" s="96">
        <f t="shared" si="7"/>
        <v>115521.49</v>
      </c>
      <c r="AR19" s="96">
        <f t="shared" si="7"/>
        <v>104086.58</v>
      </c>
      <c r="AS19" s="96">
        <f t="shared" si="7"/>
        <v>95065.4</v>
      </c>
      <c r="AT19" s="96">
        <f t="shared" si="7"/>
        <v>131542.79999999999</v>
      </c>
      <c r="AU19" s="96">
        <f t="shared" si="7"/>
        <v>116486.28</v>
      </c>
      <c r="AV19" s="96">
        <f t="shared" si="7"/>
        <v>96445.599999999991</v>
      </c>
      <c r="AW19" s="96">
        <f t="shared" si="7"/>
        <v>125184.38</v>
      </c>
      <c r="AX19" s="96">
        <f t="shared" si="7"/>
        <v>201502.64</v>
      </c>
      <c r="AY19" s="96">
        <f t="shared" si="7"/>
        <v>140550.47</v>
      </c>
      <c r="AZ19" s="96">
        <f t="shared" si="7"/>
        <v>138662.32</v>
      </c>
      <c r="BA19" s="96">
        <f t="shared" si="7"/>
        <v>114832.29000000001</v>
      </c>
      <c r="BB19" s="96">
        <f t="shared" si="7"/>
        <v>104271.13</v>
      </c>
      <c r="BC19" s="96">
        <f t="shared" si="7"/>
        <v>114406.32</v>
      </c>
      <c r="BD19" s="96">
        <f t="shared" si="7"/>
        <v>93232.45</v>
      </c>
      <c r="BE19" s="96">
        <f t="shared" si="7"/>
        <v>125927.74999999999</v>
      </c>
      <c r="BF19" s="96">
        <f t="shared" si="7"/>
        <v>138152.9</v>
      </c>
      <c r="BG19" s="96">
        <f t="shared" si="7"/>
        <v>117676.73</v>
      </c>
      <c r="BH19" s="96">
        <f t="shared" si="7"/>
        <v>90165.43</v>
      </c>
      <c r="BI19" s="96">
        <f t="shared" si="7"/>
        <v>124732.76</v>
      </c>
      <c r="BJ19" s="96">
        <f t="shared" si="7"/>
        <v>217442.63999999998</v>
      </c>
      <c r="BK19" s="96">
        <f t="shared" si="7"/>
        <v>127445.25</v>
      </c>
      <c r="BL19" s="96">
        <f t="shared" si="7"/>
        <v>112820.67000000001</v>
      </c>
      <c r="BM19" s="96">
        <f t="shared" si="7"/>
        <v>123504.40999999999</v>
      </c>
      <c r="BN19" s="96">
        <f t="shared" si="7"/>
        <v>110385.9</v>
      </c>
      <c r="BO19" s="96">
        <f t="shared" si="7"/>
        <v>113247.65000000001</v>
      </c>
      <c r="BP19" s="96">
        <f t="shared" si="7"/>
        <v>116848.36</v>
      </c>
      <c r="BQ19" s="96">
        <f t="shared" si="7"/>
        <v>107257.18000000001</v>
      </c>
      <c r="BR19" s="96">
        <f t="shared" si="7"/>
        <v>115589.81</v>
      </c>
      <c r="BS19" s="96">
        <f>+BS7+BS17+BS9</f>
        <v>105247.51</v>
      </c>
      <c r="BT19" s="96">
        <f t="shared" ref="BT19:CY19" si="8">+BT9+BT7+BT17</f>
        <v>149045.57</v>
      </c>
      <c r="BU19" s="100">
        <f t="shared" si="8"/>
        <v>131284.85</v>
      </c>
      <c r="BV19" s="96">
        <f t="shared" si="8"/>
        <v>234262</v>
      </c>
      <c r="BW19" s="96">
        <f t="shared" si="8"/>
        <v>147911.41</v>
      </c>
      <c r="BX19" s="96">
        <f t="shared" si="8"/>
        <v>132256.09</v>
      </c>
      <c r="BY19" s="96">
        <f t="shared" si="8"/>
        <v>125198.5</v>
      </c>
      <c r="BZ19" s="96">
        <f t="shared" si="8"/>
        <v>121213.06</v>
      </c>
      <c r="CA19" s="96">
        <f t="shared" si="8"/>
        <v>87492.93</v>
      </c>
      <c r="CB19" s="96">
        <f t="shared" si="8"/>
        <v>89304.260000000009</v>
      </c>
      <c r="CC19" s="96">
        <f t="shared" si="8"/>
        <v>137096.72</v>
      </c>
      <c r="CD19" s="96">
        <f t="shared" si="8"/>
        <v>85867.02</v>
      </c>
      <c r="CE19" s="96">
        <f t="shared" si="8"/>
        <v>120312.74</v>
      </c>
      <c r="CF19" s="96">
        <f t="shared" si="8"/>
        <v>113464.64</v>
      </c>
      <c r="CG19" s="96">
        <f t="shared" si="8"/>
        <v>120491.81999999999</v>
      </c>
      <c r="CH19" s="96">
        <f t="shared" si="8"/>
        <v>271187.20000000001</v>
      </c>
      <c r="CI19" s="96">
        <f t="shared" si="8"/>
        <v>158314.89000000001</v>
      </c>
      <c r="CJ19" s="96">
        <f t="shared" si="8"/>
        <v>88927.41</v>
      </c>
      <c r="CK19" s="96">
        <f t="shared" si="8"/>
        <v>126899.48</v>
      </c>
      <c r="CL19" s="96">
        <f t="shared" si="8"/>
        <v>112263.67</v>
      </c>
      <c r="CM19" s="96">
        <f t="shared" si="8"/>
        <v>111023.17000000001</v>
      </c>
      <c r="CN19" s="96">
        <f t="shared" si="8"/>
        <v>137629.09000000003</v>
      </c>
      <c r="CO19" s="96">
        <f t="shared" si="8"/>
        <v>97949.1</v>
      </c>
      <c r="CP19" s="96">
        <f t="shared" si="8"/>
        <v>108543.89</v>
      </c>
      <c r="CQ19" s="96">
        <f t="shared" si="8"/>
        <v>143781.62</v>
      </c>
      <c r="CR19" s="96">
        <f t="shared" si="8"/>
        <v>114043.79000000001</v>
      </c>
      <c r="CS19" s="96">
        <f t="shared" si="8"/>
        <v>117946</v>
      </c>
      <c r="CT19" s="96">
        <f t="shared" si="8"/>
        <v>272576.88</v>
      </c>
      <c r="CU19" s="96">
        <f t="shared" si="8"/>
        <v>118254.72</v>
      </c>
      <c r="CV19" s="96">
        <f t="shared" si="8"/>
        <v>125409.26</v>
      </c>
      <c r="CW19" s="96">
        <f t="shared" si="8"/>
        <v>108630.8</v>
      </c>
      <c r="CX19" s="96">
        <f t="shared" si="8"/>
        <v>113256.40999999999</v>
      </c>
      <c r="CY19" s="96">
        <f t="shared" si="8"/>
        <v>91694.15</v>
      </c>
      <c r="CZ19" s="96">
        <f t="shared" ref="CZ19:EE19" si="9">+CZ9+CZ7+CZ17</f>
        <v>116612.6</v>
      </c>
      <c r="DA19" s="96">
        <f t="shared" si="9"/>
        <v>111971.79</v>
      </c>
      <c r="DB19" s="96">
        <f t="shared" si="9"/>
        <v>98158.489999999991</v>
      </c>
      <c r="DC19" s="96">
        <f t="shared" si="9"/>
        <v>145020</v>
      </c>
      <c r="DD19" s="96">
        <f t="shared" si="9"/>
        <v>143680.12</v>
      </c>
      <c r="DE19" s="96">
        <f t="shared" si="9"/>
        <v>132365.83000000002</v>
      </c>
      <c r="DF19" s="96">
        <f t="shared" si="9"/>
        <v>243296.34</v>
      </c>
      <c r="DG19" s="96">
        <f t="shared" si="9"/>
        <v>143983.79999999999</v>
      </c>
      <c r="DH19" s="96">
        <f t="shared" si="9"/>
        <v>129415.53</v>
      </c>
      <c r="DI19" s="96">
        <f t="shared" si="9"/>
        <v>134826.68000000002</v>
      </c>
      <c r="DJ19" s="96">
        <f t="shared" si="9"/>
        <v>94931.35</v>
      </c>
      <c r="DK19" s="96">
        <f t="shared" si="9"/>
        <v>108529.2</v>
      </c>
      <c r="DL19" s="96">
        <f t="shared" si="9"/>
        <v>108905.65</v>
      </c>
      <c r="DM19" s="96">
        <f t="shared" si="9"/>
        <v>109270.09999999999</v>
      </c>
      <c r="DN19" s="96">
        <f t="shared" si="9"/>
        <v>129824.65999999999</v>
      </c>
      <c r="DO19" s="96">
        <f t="shared" si="9"/>
        <v>105028.81</v>
      </c>
      <c r="DP19" s="96">
        <f t="shared" si="9"/>
        <v>132191.39000000001</v>
      </c>
      <c r="DQ19" s="96">
        <f t="shared" si="9"/>
        <v>125681.87</v>
      </c>
      <c r="DR19" s="96">
        <f t="shared" si="9"/>
        <v>206240.53</v>
      </c>
      <c r="DS19" s="96">
        <f t="shared" si="9"/>
        <v>136570.24000000002</v>
      </c>
      <c r="DT19" s="96">
        <f t="shared" si="9"/>
        <v>136859.72999999998</v>
      </c>
      <c r="DU19" s="96">
        <f t="shared" si="9"/>
        <v>77056.070000000007</v>
      </c>
      <c r="DV19" s="96">
        <f t="shared" si="9"/>
        <v>109122.83</v>
      </c>
      <c r="DW19" s="96">
        <f t="shared" si="9"/>
        <v>123446.85</v>
      </c>
      <c r="DX19" s="96">
        <f t="shared" si="9"/>
        <v>98076.11</v>
      </c>
      <c r="DY19" s="96">
        <f t="shared" si="9"/>
        <v>110039.5</v>
      </c>
      <c r="DZ19" s="96">
        <f t="shared" si="9"/>
        <v>134919.44</v>
      </c>
      <c r="EA19" s="96">
        <f t="shared" si="9"/>
        <v>111618.82</v>
      </c>
      <c r="EB19" s="96">
        <f t="shared" si="9"/>
        <v>107246.03</v>
      </c>
      <c r="EC19" s="96">
        <f t="shared" si="9"/>
        <v>152936.34</v>
      </c>
      <c r="ED19" s="96">
        <f t="shared" si="9"/>
        <v>205102.23</v>
      </c>
      <c r="EE19" s="96">
        <f t="shared" si="9"/>
        <v>164987.93</v>
      </c>
      <c r="EF19" s="96">
        <f t="shared" ref="EF19:EN19" si="10">+EF9+EF7+EF17</f>
        <v>132687.12</v>
      </c>
      <c r="EG19" s="96">
        <f t="shared" si="10"/>
        <v>132637.21000000002</v>
      </c>
      <c r="EH19" s="96">
        <f t="shared" si="10"/>
        <v>107275.45</v>
      </c>
      <c r="EI19" s="96">
        <f t="shared" si="10"/>
        <v>105584.33</v>
      </c>
      <c r="EJ19" s="96">
        <f t="shared" si="10"/>
        <v>97279.13</v>
      </c>
      <c r="EK19" s="96">
        <f t="shared" si="10"/>
        <v>152218.34</v>
      </c>
      <c r="EL19" s="96">
        <f t="shared" si="10"/>
        <v>113527.12</v>
      </c>
      <c r="EM19" s="96">
        <f t="shared" si="10"/>
        <v>133033.60000000001</v>
      </c>
      <c r="EN19" s="96">
        <f t="shared" si="10"/>
        <v>107987.46</v>
      </c>
      <c r="EO19" s="96">
        <f>EO7+EO17+EO9</f>
        <v>133784.4</v>
      </c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</row>
    <row r="20" spans="1:255" x14ac:dyDescent="0.25">
      <c r="A20" s="41"/>
      <c r="AA20" s="59"/>
      <c r="AB20" s="60"/>
      <c r="AC20" s="40" t="s">
        <v>4</v>
      </c>
      <c r="AD20" s="40"/>
      <c r="AE20" s="40"/>
      <c r="AF20" s="40"/>
      <c r="AG20" s="40"/>
      <c r="AH20" s="40" t="s">
        <v>4</v>
      </c>
      <c r="AI20" s="61"/>
      <c r="AJ20" s="41"/>
      <c r="AK20" s="41"/>
      <c r="AZ20" s="41"/>
      <c r="BB20" s="41"/>
      <c r="BC20" s="41"/>
      <c r="BE20" s="41"/>
      <c r="BI20" s="41"/>
      <c r="BT20" s="48"/>
      <c r="BU20" s="47"/>
      <c r="CG20" s="48"/>
      <c r="CH20" s="40"/>
      <c r="CI20" s="40"/>
      <c r="CJ20" s="40"/>
      <c r="CK20" s="40"/>
      <c r="CL20" s="40"/>
      <c r="CM20" s="40"/>
      <c r="CN20" s="40"/>
      <c r="CO20" s="40"/>
      <c r="CP20" s="40"/>
      <c r="CQ20" s="41"/>
      <c r="CR20" s="40"/>
      <c r="CS20" s="41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1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</row>
    <row r="21" spans="1:255" x14ac:dyDescent="0.25">
      <c r="A21" s="41"/>
      <c r="B21" s="40" t="s">
        <v>1</v>
      </c>
      <c r="C21" s="40" t="s">
        <v>1</v>
      </c>
      <c r="AA21" s="59"/>
      <c r="AB21" s="60"/>
      <c r="AC21" s="40" t="s">
        <v>4</v>
      </c>
      <c r="AD21" s="40"/>
      <c r="AE21" s="40"/>
      <c r="AF21" s="40"/>
      <c r="AG21" s="40"/>
      <c r="AH21" s="40" t="s">
        <v>4</v>
      </c>
      <c r="AI21" s="61"/>
      <c r="AJ21" s="41"/>
      <c r="AK21" s="41"/>
      <c r="AZ21" s="41"/>
      <c r="BB21" s="41"/>
      <c r="BC21" s="41"/>
      <c r="BE21" s="41"/>
      <c r="BI21" s="41"/>
      <c r="BT21" s="48"/>
      <c r="BU21" s="47"/>
      <c r="CG21" s="48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1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</row>
    <row r="22" spans="1:255" x14ac:dyDescent="0.25">
      <c r="A22" s="41" t="s">
        <v>169</v>
      </c>
      <c r="B22" s="40" t="s">
        <v>9</v>
      </c>
      <c r="C22" s="40" t="s">
        <v>10</v>
      </c>
      <c r="D22" s="49" t="s">
        <v>11</v>
      </c>
      <c r="E22" s="49" t="s">
        <v>12</v>
      </c>
      <c r="F22" s="49" t="s">
        <v>13</v>
      </c>
      <c r="G22" s="49" t="s">
        <v>14</v>
      </c>
      <c r="H22" s="49" t="s">
        <v>15</v>
      </c>
      <c r="I22" s="49" t="s">
        <v>16</v>
      </c>
      <c r="J22" s="49" t="s">
        <v>17</v>
      </c>
      <c r="K22" s="49" t="s">
        <v>18</v>
      </c>
      <c r="L22" s="49" t="s">
        <v>19</v>
      </c>
      <c r="M22" s="49" t="s">
        <v>20</v>
      </c>
      <c r="N22" s="49" t="s">
        <v>21</v>
      </c>
      <c r="O22" s="49" t="s">
        <v>22</v>
      </c>
      <c r="P22" s="49" t="s">
        <v>23</v>
      </c>
      <c r="Q22" s="49" t="s">
        <v>24</v>
      </c>
      <c r="R22" s="49" t="s">
        <v>25</v>
      </c>
      <c r="S22" s="49" t="s">
        <v>26</v>
      </c>
      <c r="T22" s="49" t="s">
        <v>27</v>
      </c>
      <c r="U22" s="49" t="s">
        <v>28</v>
      </c>
      <c r="V22" s="49" t="s">
        <v>29</v>
      </c>
      <c r="W22" s="49" t="s">
        <v>30</v>
      </c>
      <c r="X22" s="49" t="s">
        <v>31</v>
      </c>
      <c r="Y22" s="49" t="s">
        <v>32</v>
      </c>
      <c r="Z22" s="49" t="s">
        <v>33</v>
      </c>
      <c r="AA22" s="50"/>
      <c r="AB22" s="51"/>
      <c r="AC22" s="49" t="s">
        <v>4</v>
      </c>
      <c r="AD22" s="49" t="s">
        <v>170</v>
      </c>
      <c r="AE22" s="68" t="s">
        <v>171</v>
      </c>
      <c r="AF22" s="68" t="s">
        <v>36</v>
      </c>
      <c r="AG22" s="68" t="s">
        <v>37</v>
      </c>
      <c r="AH22" s="49" t="s">
        <v>4</v>
      </c>
      <c r="AI22" s="69" t="s">
        <v>38</v>
      </c>
      <c r="AJ22" s="70" t="s">
        <v>39</v>
      </c>
      <c r="AK22" s="70"/>
      <c r="AL22" s="49" t="s">
        <v>40</v>
      </c>
      <c r="AM22" s="49" t="s">
        <v>41</v>
      </c>
      <c r="AN22" s="49" t="s">
        <v>42</v>
      </c>
      <c r="AO22" s="49" t="s">
        <v>43</v>
      </c>
      <c r="AP22" s="49" t="s">
        <v>44</v>
      </c>
      <c r="AQ22" s="49" t="s">
        <v>45</v>
      </c>
      <c r="AR22" s="49" t="s">
        <v>46</v>
      </c>
      <c r="AS22" s="49" t="s">
        <v>47</v>
      </c>
      <c r="AT22" s="49" t="s">
        <v>48</v>
      </c>
      <c r="AU22" s="49" t="s">
        <v>49</v>
      </c>
      <c r="AV22" s="49" t="s">
        <v>50</v>
      </c>
      <c r="AW22" s="40" t="s">
        <v>51</v>
      </c>
      <c r="AX22" s="53" t="s">
        <v>52</v>
      </c>
      <c r="AY22" s="53" t="s">
        <v>53</v>
      </c>
      <c r="AZ22" s="53" t="s">
        <v>54</v>
      </c>
      <c r="BA22" s="53" t="s">
        <v>55</v>
      </c>
      <c r="BB22" s="49" t="s">
        <v>56</v>
      </c>
      <c r="BC22" s="53" t="s">
        <v>57</v>
      </c>
      <c r="BD22" s="53" t="s">
        <v>58</v>
      </c>
      <c r="BE22" s="53" t="s">
        <v>59</v>
      </c>
      <c r="BF22" s="53" t="s">
        <v>60</v>
      </c>
      <c r="BG22" s="53" t="s">
        <v>61</v>
      </c>
      <c r="BH22" s="53" t="s">
        <v>62</v>
      </c>
      <c r="BI22" s="47" t="s">
        <v>63</v>
      </c>
      <c r="BJ22" s="53" t="s">
        <v>64</v>
      </c>
      <c r="BK22" s="53" t="s">
        <v>65</v>
      </c>
      <c r="BL22" s="53" t="s">
        <v>66</v>
      </c>
      <c r="BM22" s="53" t="s">
        <v>67</v>
      </c>
      <c r="BN22" s="49" t="s">
        <v>68</v>
      </c>
      <c r="BO22" s="53" t="s">
        <v>69</v>
      </c>
      <c r="BP22" s="53" t="s">
        <v>70</v>
      </c>
      <c r="BQ22" s="53" t="s">
        <v>71</v>
      </c>
      <c r="BR22" s="53" t="s">
        <v>72</v>
      </c>
      <c r="BS22" s="53" t="s">
        <v>73</v>
      </c>
      <c r="BT22" s="53" t="s">
        <v>74</v>
      </c>
      <c r="BU22" s="47" t="s">
        <v>75</v>
      </c>
      <c r="BV22" s="53" t="s">
        <v>76</v>
      </c>
      <c r="BW22" s="53" t="s">
        <v>77</v>
      </c>
      <c r="BX22" s="53" t="s">
        <v>78</v>
      </c>
      <c r="BY22" s="53" t="s">
        <v>79</v>
      </c>
      <c r="BZ22" s="49" t="s">
        <v>80</v>
      </c>
      <c r="CA22" s="53" t="s">
        <v>81</v>
      </c>
      <c r="CB22" s="53" t="s">
        <v>82</v>
      </c>
      <c r="CC22" s="53" t="s">
        <v>83</v>
      </c>
      <c r="CD22" s="53" t="s">
        <v>84</v>
      </c>
      <c r="CE22" s="53" t="s">
        <v>85</v>
      </c>
      <c r="CF22" s="53" t="s">
        <v>86</v>
      </c>
      <c r="CG22" s="48" t="s">
        <v>87</v>
      </c>
      <c r="CH22" s="53" t="s">
        <v>88</v>
      </c>
      <c r="CI22" s="53" t="s">
        <v>89</v>
      </c>
      <c r="CJ22" s="53" t="s">
        <v>90</v>
      </c>
      <c r="CK22" s="53" t="s">
        <v>91</v>
      </c>
      <c r="CL22" s="49" t="s">
        <v>92</v>
      </c>
      <c r="CM22" s="53" t="s">
        <v>93</v>
      </c>
      <c r="CN22" s="53" t="s">
        <v>94</v>
      </c>
      <c r="CO22" s="53" t="s">
        <v>95</v>
      </c>
      <c r="CP22" s="53" t="s">
        <v>96</v>
      </c>
      <c r="CQ22" s="53" t="s">
        <v>97</v>
      </c>
      <c r="CR22" s="53" t="s">
        <v>98</v>
      </c>
      <c r="CS22" s="41" t="s">
        <v>99</v>
      </c>
      <c r="CT22" s="49" t="s">
        <v>100</v>
      </c>
      <c r="CU22" s="49" t="s">
        <v>101</v>
      </c>
      <c r="CV22" s="49" t="s">
        <v>102</v>
      </c>
      <c r="CW22" s="49" t="s">
        <v>103</v>
      </c>
      <c r="CX22" s="49" t="s">
        <v>104</v>
      </c>
      <c r="CY22" s="49" t="s">
        <v>105</v>
      </c>
      <c r="CZ22" s="49" t="s">
        <v>106</v>
      </c>
      <c r="DA22" s="49" t="s">
        <v>107</v>
      </c>
      <c r="DB22" s="49" t="s">
        <v>108</v>
      </c>
      <c r="DC22" s="49" t="s">
        <v>109</v>
      </c>
      <c r="DD22" s="49" t="s">
        <v>110</v>
      </c>
      <c r="DE22" s="49" t="s">
        <v>111</v>
      </c>
      <c r="DF22" s="49" t="s">
        <v>112</v>
      </c>
      <c r="DG22" s="49" t="s">
        <v>113</v>
      </c>
      <c r="DH22" s="49" t="s">
        <v>114</v>
      </c>
      <c r="DI22" s="49" t="s">
        <v>115</v>
      </c>
      <c r="DJ22" s="49" t="s">
        <v>116</v>
      </c>
      <c r="DK22" s="49" t="s">
        <v>117</v>
      </c>
      <c r="DL22" s="49" t="s">
        <v>118</v>
      </c>
      <c r="DM22" s="49" t="s">
        <v>119</v>
      </c>
      <c r="DN22" s="49" t="s">
        <v>120</v>
      </c>
      <c r="DO22" s="49" t="s">
        <v>121</v>
      </c>
      <c r="DP22" s="49" t="s">
        <v>122</v>
      </c>
      <c r="DQ22" s="49" t="s">
        <v>123</v>
      </c>
      <c r="DR22" s="49" t="s">
        <v>124</v>
      </c>
      <c r="DS22" s="49" t="s">
        <v>125</v>
      </c>
      <c r="DT22" s="49" t="s">
        <v>126</v>
      </c>
      <c r="DU22" s="49" t="s">
        <v>127</v>
      </c>
      <c r="DV22" s="49" t="s">
        <v>128</v>
      </c>
      <c r="DW22" s="49" t="s">
        <v>129</v>
      </c>
      <c r="DX22" s="49" t="s">
        <v>130</v>
      </c>
      <c r="DY22" s="49" t="s">
        <v>131</v>
      </c>
      <c r="DZ22" s="49" t="s">
        <v>132</v>
      </c>
      <c r="EA22" s="49" t="s">
        <v>133</v>
      </c>
      <c r="EB22" s="49" t="s">
        <v>134</v>
      </c>
      <c r="EC22" s="49" t="s">
        <v>135</v>
      </c>
      <c r="ED22" s="49" t="s">
        <v>136</v>
      </c>
      <c r="EE22" s="49" t="s">
        <v>137</v>
      </c>
      <c r="EF22" s="49" t="s">
        <v>138</v>
      </c>
      <c r="EG22" s="49" t="s">
        <v>139</v>
      </c>
      <c r="EH22" s="49" t="s">
        <v>140</v>
      </c>
      <c r="EI22" s="49" t="s">
        <v>141</v>
      </c>
      <c r="EJ22" s="49" t="s">
        <v>142</v>
      </c>
      <c r="EK22" s="49" t="s">
        <v>143</v>
      </c>
      <c r="EL22" s="49" t="s">
        <v>144</v>
      </c>
      <c r="EM22" s="49" t="s">
        <v>145</v>
      </c>
      <c r="EN22" s="49" t="s">
        <v>146</v>
      </c>
      <c r="EO22" s="53" t="s">
        <v>147</v>
      </c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x14ac:dyDescent="0.25">
      <c r="A23" s="41"/>
      <c r="B23" s="49" t="s">
        <v>172</v>
      </c>
      <c r="C23" s="49" t="s">
        <v>172</v>
      </c>
      <c r="D23" s="49" t="s">
        <v>172</v>
      </c>
      <c r="E23" s="49" t="s">
        <v>172</v>
      </c>
      <c r="F23" s="49" t="s">
        <v>172</v>
      </c>
      <c r="G23" s="49" t="s">
        <v>172</v>
      </c>
      <c r="H23" s="49" t="s">
        <v>172</v>
      </c>
      <c r="I23" s="49" t="s">
        <v>172</v>
      </c>
      <c r="J23" s="49" t="s">
        <v>172</v>
      </c>
      <c r="K23" s="49" t="s">
        <v>172</v>
      </c>
      <c r="L23" s="49" t="s">
        <v>172</v>
      </c>
      <c r="M23" s="49" t="s">
        <v>172</v>
      </c>
      <c r="N23" s="49" t="s">
        <v>172</v>
      </c>
      <c r="O23" s="49" t="s">
        <v>172</v>
      </c>
      <c r="P23" s="49" t="s">
        <v>172</v>
      </c>
      <c r="Q23" s="49" t="s">
        <v>172</v>
      </c>
      <c r="R23" s="49" t="s">
        <v>172</v>
      </c>
      <c r="S23" s="49" t="s">
        <v>172</v>
      </c>
      <c r="T23" s="49" t="s">
        <v>172</v>
      </c>
      <c r="U23" s="49" t="s">
        <v>172</v>
      </c>
      <c r="V23" s="49" t="s">
        <v>172</v>
      </c>
      <c r="W23" s="49" t="s">
        <v>172</v>
      </c>
      <c r="X23" s="49" t="s">
        <v>172</v>
      </c>
      <c r="Y23" s="49" t="s">
        <v>172</v>
      </c>
      <c r="Z23" s="49" t="s">
        <v>150</v>
      </c>
      <c r="AA23" s="50"/>
      <c r="AB23" s="51"/>
      <c r="AC23" s="40" t="s">
        <v>4</v>
      </c>
      <c r="AD23" s="49" t="str">
        <f>+A111</f>
        <v>THRU 01/31/2021</v>
      </c>
      <c r="AE23" s="68" t="s">
        <v>151</v>
      </c>
      <c r="AF23" s="68" t="s">
        <v>152</v>
      </c>
      <c r="AG23" s="68" t="s">
        <v>153</v>
      </c>
      <c r="AH23" s="49" t="s">
        <v>4</v>
      </c>
      <c r="AI23" s="69" t="s">
        <v>154</v>
      </c>
      <c r="AJ23" s="70" t="s">
        <v>155</v>
      </c>
      <c r="AK23" s="70"/>
      <c r="AL23" s="49" t="s">
        <v>172</v>
      </c>
      <c r="AM23" s="49" t="s">
        <v>172</v>
      </c>
      <c r="AN23" s="49" t="s">
        <v>172</v>
      </c>
      <c r="AO23" s="49" t="s">
        <v>172</v>
      </c>
      <c r="AP23" s="49" t="s">
        <v>172</v>
      </c>
      <c r="AQ23" s="49" t="s">
        <v>172</v>
      </c>
      <c r="AR23" s="49" t="s">
        <v>172</v>
      </c>
      <c r="AS23" s="49" t="s">
        <v>172</v>
      </c>
      <c r="AT23" s="49" t="s">
        <v>172</v>
      </c>
      <c r="AU23" s="49" t="s">
        <v>172</v>
      </c>
      <c r="AV23" s="49" t="s">
        <v>172</v>
      </c>
      <c r="AW23" s="49" t="s">
        <v>172</v>
      </c>
      <c r="AX23" s="49" t="s">
        <v>172</v>
      </c>
      <c r="AY23" s="49" t="s">
        <v>172</v>
      </c>
      <c r="AZ23" s="49" t="s">
        <v>172</v>
      </c>
      <c r="BA23" s="49" t="s">
        <v>172</v>
      </c>
      <c r="BB23" s="49" t="s">
        <v>172</v>
      </c>
      <c r="BC23" s="49" t="s">
        <v>172</v>
      </c>
      <c r="BD23" s="49" t="s">
        <v>172</v>
      </c>
      <c r="BE23" s="49" t="s">
        <v>172</v>
      </c>
      <c r="BF23" s="49" t="s">
        <v>172</v>
      </c>
      <c r="BG23" s="49" t="s">
        <v>172</v>
      </c>
      <c r="BH23" s="49" t="s">
        <v>172</v>
      </c>
      <c r="BI23" s="71" t="s">
        <v>172</v>
      </c>
      <c r="BJ23" s="49" t="s">
        <v>172</v>
      </c>
      <c r="BK23" s="49" t="s">
        <v>172</v>
      </c>
      <c r="BL23" s="49" t="s">
        <v>172</v>
      </c>
      <c r="BM23" s="49" t="s">
        <v>172</v>
      </c>
      <c r="BN23" s="49" t="s">
        <v>172</v>
      </c>
      <c r="BO23" s="49" t="s">
        <v>172</v>
      </c>
      <c r="BP23" s="49" t="s">
        <v>172</v>
      </c>
      <c r="BQ23" s="49" t="s">
        <v>172</v>
      </c>
      <c r="BR23" s="49" t="s">
        <v>172</v>
      </c>
      <c r="BS23" s="49" t="s">
        <v>172</v>
      </c>
      <c r="BT23" s="49" t="s">
        <v>172</v>
      </c>
      <c r="BU23" s="71" t="s">
        <v>172</v>
      </c>
      <c r="BV23" s="49" t="s">
        <v>172</v>
      </c>
      <c r="BW23" s="49" t="s">
        <v>172</v>
      </c>
      <c r="BX23" s="49" t="s">
        <v>172</v>
      </c>
      <c r="BY23" s="49" t="s">
        <v>172</v>
      </c>
      <c r="BZ23" s="49" t="s">
        <v>172</v>
      </c>
      <c r="CA23" s="49" t="s">
        <v>172</v>
      </c>
      <c r="CB23" s="49" t="s">
        <v>172</v>
      </c>
      <c r="CC23" s="49" t="s">
        <v>172</v>
      </c>
      <c r="CD23" s="49" t="s">
        <v>172</v>
      </c>
      <c r="CE23" s="49" t="s">
        <v>172</v>
      </c>
      <c r="CF23" s="49" t="s">
        <v>172</v>
      </c>
      <c r="CG23" s="72" t="s">
        <v>172</v>
      </c>
      <c r="CH23" s="49" t="s">
        <v>172</v>
      </c>
      <c r="CI23" s="49" t="s">
        <v>172</v>
      </c>
      <c r="CJ23" s="49" t="s">
        <v>172</v>
      </c>
      <c r="CK23" s="49" t="s">
        <v>172</v>
      </c>
      <c r="CL23" s="49" t="s">
        <v>172</v>
      </c>
      <c r="CM23" s="49" t="s">
        <v>172</v>
      </c>
      <c r="CN23" s="49" t="s">
        <v>172</v>
      </c>
      <c r="CO23" s="49" t="s">
        <v>172</v>
      </c>
      <c r="CP23" s="49" t="s">
        <v>172</v>
      </c>
      <c r="CQ23" s="49" t="s">
        <v>172</v>
      </c>
      <c r="CR23" s="49" t="s">
        <v>172</v>
      </c>
      <c r="CS23" s="49" t="s">
        <v>172</v>
      </c>
      <c r="CT23" s="49" t="s">
        <v>172</v>
      </c>
      <c r="CU23" s="49" t="s">
        <v>172</v>
      </c>
      <c r="CV23" s="49" t="s">
        <v>172</v>
      </c>
      <c r="CW23" s="49" t="s">
        <v>172</v>
      </c>
      <c r="CX23" s="49" t="s">
        <v>172</v>
      </c>
      <c r="CY23" s="49" t="s">
        <v>172</v>
      </c>
      <c r="CZ23" s="49" t="s">
        <v>172</v>
      </c>
      <c r="DA23" s="49" t="s">
        <v>172</v>
      </c>
      <c r="DB23" s="49" t="s">
        <v>172</v>
      </c>
      <c r="DC23" s="49" t="s">
        <v>172</v>
      </c>
      <c r="DD23" s="49" t="s">
        <v>172</v>
      </c>
      <c r="DE23" s="49" t="s">
        <v>172</v>
      </c>
      <c r="DF23" s="49" t="s">
        <v>172</v>
      </c>
      <c r="DG23" s="49" t="s">
        <v>172</v>
      </c>
      <c r="DH23" s="49" t="s">
        <v>172</v>
      </c>
      <c r="DI23" s="49" t="s">
        <v>172</v>
      </c>
      <c r="DJ23" s="49" t="s">
        <v>172</v>
      </c>
      <c r="DK23" s="49" t="s">
        <v>172</v>
      </c>
      <c r="DL23" s="49" t="s">
        <v>172</v>
      </c>
      <c r="DM23" s="49" t="s">
        <v>172</v>
      </c>
      <c r="DN23" s="49" t="s">
        <v>172</v>
      </c>
      <c r="DO23" s="49" t="s">
        <v>172</v>
      </c>
      <c r="DP23" s="49" t="s">
        <v>172</v>
      </c>
      <c r="DQ23" s="49" t="s">
        <v>172</v>
      </c>
      <c r="DR23" s="49" t="s">
        <v>172</v>
      </c>
      <c r="DS23" s="49" t="s">
        <v>172</v>
      </c>
      <c r="DT23" s="49" t="s">
        <v>172</v>
      </c>
      <c r="DU23" s="49" t="s">
        <v>172</v>
      </c>
      <c r="DV23" s="49" t="s">
        <v>172</v>
      </c>
      <c r="DW23" s="49" t="s">
        <v>172</v>
      </c>
      <c r="DX23" s="49" t="s">
        <v>172</v>
      </c>
      <c r="DY23" s="49" t="s">
        <v>172</v>
      </c>
      <c r="DZ23" s="49" t="s">
        <v>172</v>
      </c>
      <c r="EA23" s="49" t="s">
        <v>172</v>
      </c>
      <c r="EB23" s="49" t="s">
        <v>172</v>
      </c>
      <c r="EC23" s="49" t="s">
        <v>172</v>
      </c>
      <c r="ED23" s="49" t="s">
        <v>172</v>
      </c>
      <c r="EE23" s="49" t="s">
        <v>172</v>
      </c>
      <c r="EF23" s="49" t="s">
        <v>172</v>
      </c>
      <c r="EG23" s="49" t="s">
        <v>172</v>
      </c>
      <c r="EH23" s="49" t="s">
        <v>172</v>
      </c>
      <c r="EI23" s="49" t="s">
        <v>172</v>
      </c>
      <c r="EJ23" s="49" t="s">
        <v>172</v>
      </c>
      <c r="EK23" s="49" t="s">
        <v>172</v>
      </c>
      <c r="EL23" s="49" t="s">
        <v>172</v>
      </c>
      <c r="EM23" s="49" t="s">
        <v>172</v>
      </c>
      <c r="EN23" s="49" t="s">
        <v>172</v>
      </c>
      <c r="EO23" s="49" t="s">
        <v>172</v>
      </c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</row>
    <row r="24" spans="1:255" ht="15.6" x14ac:dyDescent="0.3">
      <c r="A24" s="41" t="s">
        <v>173</v>
      </c>
      <c r="X24" s="73"/>
      <c r="Y24" s="73"/>
      <c r="AA24" s="59"/>
      <c r="AB24" s="60"/>
      <c r="AC24" s="40" t="s">
        <v>4</v>
      </c>
      <c r="AD24" s="40" t="s">
        <v>157</v>
      </c>
      <c r="AE24" s="40"/>
      <c r="AF24" s="40"/>
      <c r="AG24" s="40"/>
      <c r="AH24" s="40" t="s">
        <v>4</v>
      </c>
      <c r="AI24" s="61"/>
      <c r="AJ24" s="41"/>
      <c r="AK24" s="41"/>
      <c r="AZ24" s="41"/>
      <c r="BB24" s="41"/>
      <c r="BC24" s="41"/>
      <c r="BE24" s="41"/>
      <c r="BI24" s="41"/>
      <c r="BT24" s="48"/>
      <c r="BU24" s="47"/>
      <c r="CG24" s="48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1"/>
      <c r="CS24" s="41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1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1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255" s="101" customFormat="1" ht="15.6" x14ac:dyDescent="0.3">
      <c r="A25" s="92" t="s">
        <v>174</v>
      </c>
      <c r="B25" s="96">
        <v>29939.79</v>
      </c>
      <c r="C25" s="96">
        <v>27926.16</v>
      </c>
      <c r="D25" s="96">
        <v>23060.720000000001</v>
      </c>
      <c r="E25" s="96">
        <v>22136.53</v>
      </c>
      <c r="F25" s="96">
        <v>32497.97</v>
      </c>
      <c r="G25" s="96">
        <v>29039.1</v>
      </c>
      <c r="H25" s="96">
        <f>28028.45+3728.5</f>
        <v>31756.95</v>
      </c>
      <c r="I25" s="96">
        <v>31394.31</v>
      </c>
      <c r="J25" s="96">
        <v>25274.53</v>
      </c>
      <c r="K25" s="96">
        <v>24875.88</v>
      </c>
      <c r="L25" s="96">
        <v>29953.99</v>
      </c>
      <c r="M25" s="96">
        <v>29987.77</v>
      </c>
      <c r="N25" s="96">
        <v>26694.49</v>
      </c>
      <c r="O25" s="96">
        <v>24698.46</v>
      </c>
      <c r="P25" s="96">
        <v>25716.51</v>
      </c>
      <c r="Q25" s="96">
        <v>21549.35</v>
      </c>
      <c r="R25" s="96">
        <v>23113.24</v>
      </c>
      <c r="S25" s="96">
        <v>35748.870000000003</v>
      </c>
      <c r="T25" s="96">
        <v>24138.02</v>
      </c>
      <c r="U25" s="96">
        <v>21179.45</v>
      </c>
      <c r="V25" s="96">
        <v>37352.22</v>
      </c>
      <c r="W25" s="96">
        <v>10628.86</v>
      </c>
      <c r="X25" s="96">
        <v>40269.35</v>
      </c>
      <c r="Y25" s="96">
        <f>51418.56+21254.17+23190.16</f>
        <v>95862.89</v>
      </c>
      <c r="Z25" s="96">
        <f>X25-Y25</f>
        <v>-55593.54</v>
      </c>
      <c r="AA25" s="102">
        <v>392235</v>
      </c>
      <c r="AB25" s="103">
        <v>395000</v>
      </c>
      <c r="AC25" s="96" t="s">
        <v>4</v>
      </c>
      <c r="AD25" s="96">
        <f>+B25+D25+F25+H25+J25+L25+N25+P25+R25+T25+V25+X25</f>
        <v>349767.78</v>
      </c>
      <c r="AE25" s="96">
        <f>+AI25/12*A108</f>
        <v>608937</v>
      </c>
      <c r="AF25" s="96">
        <f>+AD25-AE25</f>
        <v>-259169.21999999997</v>
      </c>
      <c r="AG25" s="96">
        <f t="shared" ref="AG25:AG30" si="11">+C25+E25+G25+I25+K25+M25+O25+Q25+S25+U25+W25+Y25</f>
        <v>375027.63</v>
      </c>
      <c r="AH25" s="96" t="s">
        <v>4</v>
      </c>
      <c r="AI25" s="97">
        <v>608937</v>
      </c>
      <c r="AJ25" s="98">
        <f>+AD25/AI25</f>
        <v>0.57439074978199722</v>
      </c>
      <c r="AK25" s="98"/>
      <c r="AL25" s="96">
        <v>90369.99</v>
      </c>
      <c r="AM25" s="96">
        <v>34875.54</v>
      </c>
      <c r="AN25" s="96">
        <v>33162.33</v>
      </c>
      <c r="AO25" s="96">
        <v>29497.599999999999</v>
      </c>
      <c r="AP25" s="96">
        <v>22605.68</v>
      </c>
      <c r="AQ25" s="96">
        <v>32954.720000000001</v>
      </c>
      <c r="AR25" s="96">
        <v>28822.69</v>
      </c>
      <c r="AS25" s="96">
        <v>26939.53</v>
      </c>
      <c r="AT25" s="96">
        <v>38038.519999999997</v>
      </c>
      <c r="AU25" s="96">
        <v>33710.57</v>
      </c>
      <c r="AV25" s="96">
        <v>24427.79</v>
      </c>
      <c r="AW25" s="96">
        <v>34626.86</v>
      </c>
      <c r="AX25" s="96">
        <f>(AD7*0.4)*0.75-366807.13+65000</f>
        <v>78579.390999999945</v>
      </c>
      <c r="AY25" s="96">
        <v>38024.339999999997</v>
      </c>
      <c r="AZ25" s="96">
        <v>39434.199999999997</v>
      </c>
      <c r="BA25" s="96">
        <v>32247.23</v>
      </c>
      <c r="BB25" s="96">
        <v>30529.58</v>
      </c>
      <c r="BC25" s="96">
        <v>32898.559999999998</v>
      </c>
      <c r="BD25" s="96">
        <v>26220.48</v>
      </c>
      <c r="BE25" s="96">
        <v>36334.370000000003</v>
      </c>
      <c r="BF25" s="96">
        <v>39909.019999999997</v>
      </c>
      <c r="BG25" s="96">
        <v>33693.72</v>
      </c>
      <c r="BH25" s="96">
        <v>25459.040000000001</v>
      </c>
      <c r="BI25" s="100">
        <v>32056.59</v>
      </c>
      <c r="BJ25" s="96">
        <v>169201.96</v>
      </c>
      <c r="BK25" s="96">
        <v>34773.29</v>
      </c>
      <c r="BL25" s="104">
        <v>32628.86</v>
      </c>
      <c r="BM25" s="104">
        <v>35987.56</v>
      </c>
      <c r="BN25" s="104">
        <v>31795.79</v>
      </c>
      <c r="BO25" s="104">
        <v>33254.51</v>
      </c>
      <c r="BP25" s="104">
        <v>33814.11</v>
      </c>
      <c r="BQ25" s="104">
        <v>30146.61</v>
      </c>
      <c r="BR25" s="104">
        <v>32195.57</v>
      </c>
      <c r="BS25" s="104">
        <v>30321.08</v>
      </c>
      <c r="BT25" s="104">
        <v>39574.269999999997</v>
      </c>
      <c r="BU25" s="100">
        <v>37149.89</v>
      </c>
      <c r="BV25" s="96">
        <v>176589.19</v>
      </c>
      <c r="BW25" s="96">
        <v>39945.620000000003</v>
      </c>
      <c r="BX25" s="96">
        <v>38562.18</v>
      </c>
      <c r="BY25" s="104">
        <v>36258.97</v>
      </c>
      <c r="BZ25" s="104">
        <v>35038.199999999997</v>
      </c>
      <c r="CA25" s="104">
        <v>24735.97</v>
      </c>
      <c r="CB25" s="104">
        <v>25408.95</v>
      </c>
      <c r="CC25" s="104">
        <v>39432.629999999997</v>
      </c>
      <c r="CD25" s="104">
        <v>23631.61</v>
      </c>
      <c r="CE25" s="104">
        <v>34236.089999999997</v>
      </c>
      <c r="CF25" s="104">
        <v>32601.21</v>
      </c>
      <c r="CG25" s="104">
        <v>29022.57</v>
      </c>
      <c r="CH25" s="96">
        <v>242681.21</v>
      </c>
      <c r="CI25" s="96">
        <v>41544.51</v>
      </c>
      <c r="CJ25" s="96">
        <v>25526.79</v>
      </c>
      <c r="CK25" s="96">
        <v>36846.75</v>
      </c>
      <c r="CL25" s="96">
        <v>31276.39</v>
      </c>
      <c r="CM25" s="96">
        <v>25612.81</v>
      </c>
      <c r="CN25" s="96">
        <v>39924.74</v>
      </c>
      <c r="CO25" s="96">
        <v>28122.63</v>
      </c>
      <c r="CP25" s="96">
        <v>31489.34</v>
      </c>
      <c r="CQ25" s="96">
        <v>41928.81</v>
      </c>
      <c r="CR25" s="96">
        <v>31842.71</v>
      </c>
      <c r="CS25" s="104">
        <v>29397.18</v>
      </c>
      <c r="CT25" s="96">
        <v>241374.67</v>
      </c>
      <c r="CU25" s="96">
        <v>30060.21</v>
      </c>
      <c r="CV25" s="96">
        <v>32786.5</v>
      </c>
      <c r="CW25" s="96">
        <v>30852.52</v>
      </c>
      <c r="CX25" s="96">
        <v>32316.12</v>
      </c>
      <c r="CY25" s="96">
        <v>26265.919999999998</v>
      </c>
      <c r="CZ25" s="96">
        <v>32708.06</v>
      </c>
      <c r="DA25" s="96">
        <v>32175.05</v>
      </c>
      <c r="DB25" s="96">
        <v>27440.59</v>
      </c>
      <c r="DC25" s="96">
        <v>42068.14</v>
      </c>
      <c r="DD25" s="96">
        <v>41595.67</v>
      </c>
      <c r="DE25" s="96">
        <v>32266.16</v>
      </c>
      <c r="DF25" s="96">
        <v>230099.69</v>
      </c>
      <c r="DG25" s="96">
        <v>37779.11</v>
      </c>
      <c r="DH25" s="96">
        <v>35782.410000000003</v>
      </c>
      <c r="DI25" s="96">
        <v>38834.97</v>
      </c>
      <c r="DJ25" s="96">
        <v>26015.18</v>
      </c>
      <c r="DK25" s="96">
        <v>31519.31</v>
      </c>
      <c r="DL25" s="96">
        <v>30505.01</v>
      </c>
      <c r="DM25" s="96">
        <v>30908.62</v>
      </c>
      <c r="DN25" s="96">
        <v>35760.959999999999</v>
      </c>
      <c r="DO25" s="96">
        <v>30014.5</v>
      </c>
      <c r="DP25" s="96">
        <v>34898.89</v>
      </c>
      <c r="DQ25" s="96">
        <v>32984.67</v>
      </c>
      <c r="DR25" s="96">
        <v>187985.83</v>
      </c>
      <c r="DS25" s="96">
        <v>36648.769999999997</v>
      </c>
      <c r="DT25" s="96">
        <v>40032.120000000003</v>
      </c>
      <c r="DU25" s="96">
        <v>21633.71</v>
      </c>
      <c r="DV25" s="96">
        <v>31612.01</v>
      </c>
      <c r="DW25" s="96">
        <v>34535.120000000003</v>
      </c>
      <c r="DX25" s="96">
        <v>27723.64</v>
      </c>
      <c r="DY25" s="96">
        <v>30499.82</v>
      </c>
      <c r="DZ25" s="96">
        <v>35603.599999999999</v>
      </c>
      <c r="EA25" s="96">
        <v>32329.3</v>
      </c>
      <c r="EB25" s="96">
        <v>29071.74</v>
      </c>
      <c r="EC25" s="96">
        <v>36406.07</v>
      </c>
      <c r="ED25" s="96">
        <v>318769.56</v>
      </c>
      <c r="EE25" s="96">
        <v>34351.64</v>
      </c>
      <c r="EF25" s="96">
        <v>29821.32</v>
      </c>
      <c r="EG25" s="96">
        <v>25744.61</v>
      </c>
      <c r="EH25" s="96">
        <v>24602.36</v>
      </c>
      <c r="EI25" s="96">
        <v>22152.78</v>
      </c>
      <c r="EJ25" s="96">
        <v>22995.99</v>
      </c>
      <c r="EK25" s="96">
        <v>28669.79</v>
      </c>
      <c r="EL25" s="96">
        <v>20395.330000000002</v>
      </c>
      <c r="EM25" s="96">
        <v>1287.9100000000001</v>
      </c>
      <c r="EN25" s="96">
        <v>29358.26</v>
      </c>
      <c r="EO25" s="96">
        <v>39663.629999999997</v>
      </c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</row>
    <row r="26" spans="1:255" x14ac:dyDescent="0.25">
      <c r="A26" s="41"/>
      <c r="AA26" s="59"/>
      <c r="AB26" s="60"/>
      <c r="AC26" s="40" t="s">
        <v>4</v>
      </c>
      <c r="AD26" s="40" t="s">
        <v>157</v>
      </c>
      <c r="AE26" s="40"/>
      <c r="AF26" s="40"/>
      <c r="AG26" s="40">
        <f t="shared" si="11"/>
        <v>0</v>
      </c>
      <c r="AH26" s="40" t="s">
        <v>4</v>
      </c>
      <c r="AI26" s="61"/>
      <c r="AJ26" s="41"/>
      <c r="AK26" s="41"/>
      <c r="AW26" s="40" t="s">
        <v>157</v>
      </c>
      <c r="AX26" s="40" t="s">
        <v>157</v>
      </c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7"/>
      <c r="BK26" s="40"/>
      <c r="BS26" s="48"/>
      <c r="BT26" s="48"/>
      <c r="BU26" s="47"/>
      <c r="BX26" s="40"/>
      <c r="CF26" s="48"/>
      <c r="CG26" s="48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8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 t="s">
        <v>157</v>
      </c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x14ac:dyDescent="0.25">
      <c r="A27" s="41" t="s">
        <v>175</v>
      </c>
      <c r="B27" s="40">
        <v>131.25</v>
      </c>
      <c r="C27" s="40">
        <v>131.25</v>
      </c>
      <c r="D27" s="40">
        <v>131.25</v>
      </c>
      <c r="E27" s="40">
        <v>131.25</v>
      </c>
      <c r="F27" s="40">
        <v>131.25</v>
      </c>
      <c r="G27" s="40">
        <v>131.25</v>
      </c>
      <c r="H27" s="40">
        <v>131.25</v>
      </c>
      <c r="I27" s="40">
        <v>131.25</v>
      </c>
      <c r="J27" s="40">
        <v>131.25</v>
      </c>
      <c r="K27" s="40">
        <v>131.25</v>
      </c>
      <c r="L27" s="40">
        <v>131.25</v>
      </c>
      <c r="M27" s="40">
        <v>131.25</v>
      </c>
      <c r="N27" s="40">
        <v>131.25</v>
      </c>
      <c r="O27" s="40">
        <v>131.25</v>
      </c>
      <c r="P27" s="40">
        <v>131.25</v>
      </c>
      <c r="Q27" s="40">
        <v>131.25</v>
      </c>
      <c r="R27" s="40">
        <v>131.25</v>
      </c>
      <c r="S27" s="40">
        <v>131.25</v>
      </c>
      <c r="T27" s="40">
        <v>131.25</v>
      </c>
      <c r="U27" s="40">
        <v>131.25</v>
      </c>
      <c r="V27" s="40">
        <v>131.25</v>
      </c>
      <c r="W27" s="40">
        <v>131.25</v>
      </c>
      <c r="X27" s="40">
        <v>131.25</v>
      </c>
      <c r="Y27" s="40">
        <v>806.25</v>
      </c>
      <c r="Z27" s="40">
        <f>X27-Y27</f>
        <v>-675</v>
      </c>
      <c r="AA27" s="59">
        <v>1770</v>
      </c>
      <c r="AB27" s="60">
        <v>2250</v>
      </c>
      <c r="AC27" s="40" t="s">
        <v>4</v>
      </c>
      <c r="AD27" s="40">
        <f>+B27+D27+F27+H27+J27+L27+N27+P27+R27+T27+V27+X27</f>
        <v>1575</v>
      </c>
      <c r="AE27" s="40">
        <f>+AI27/12*A108</f>
        <v>2250</v>
      </c>
      <c r="AF27" s="40">
        <f>+AD27-AE27</f>
        <v>-675</v>
      </c>
      <c r="AG27" s="40">
        <f t="shared" si="11"/>
        <v>2250</v>
      </c>
      <c r="AH27" s="40" t="s">
        <v>4</v>
      </c>
      <c r="AI27" s="61">
        <v>2250</v>
      </c>
      <c r="AJ27" s="62">
        <f>AD27/AI27</f>
        <v>0.7</v>
      </c>
      <c r="AK27" s="62"/>
      <c r="AL27" s="40">
        <f>140.57+562.5</f>
        <v>703.06999999999994</v>
      </c>
      <c r="AM27" s="40">
        <v>140.63</v>
      </c>
      <c r="AN27" s="40">
        <v>140.63</v>
      </c>
      <c r="AO27" s="40">
        <v>140.63</v>
      </c>
      <c r="AP27" s="40">
        <v>140.63</v>
      </c>
      <c r="AQ27" s="40">
        <v>140.63</v>
      </c>
      <c r="AR27" s="40">
        <v>140.63</v>
      </c>
      <c r="AS27" s="40">
        <v>140.63</v>
      </c>
      <c r="AT27" s="40">
        <v>140.63</v>
      </c>
      <c r="AU27" s="40">
        <v>140.63</v>
      </c>
      <c r="AV27" s="40">
        <v>140.63</v>
      </c>
      <c r="AW27" s="40">
        <v>140.63</v>
      </c>
      <c r="AX27" s="40">
        <f>140.63+562.44</f>
        <v>703.07</v>
      </c>
      <c r="AY27" s="40">
        <v>140.63</v>
      </c>
      <c r="AZ27" s="40">
        <v>140.63</v>
      </c>
      <c r="BA27" s="40">
        <v>140.63</v>
      </c>
      <c r="BB27" s="40">
        <v>140.63</v>
      </c>
      <c r="BC27" s="40">
        <v>140.63</v>
      </c>
      <c r="BD27" s="40">
        <v>140.63</v>
      </c>
      <c r="BE27" s="40">
        <v>140.63</v>
      </c>
      <c r="BF27" s="40">
        <v>140.63</v>
      </c>
      <c r="BG27" s="40">
        <v>140.63</v>
      </c>
      <c r="BH27" s="40">
        <v>140.63</v>
      </c>
      <c r="BI27" s="47">
        <v>140.63</v>
      </c>
      <c r="BJ27" s="40">
        <v>187.5</v>
      </c>
      <c r="BK27" s="40">
        <v>187.5</v>
      </c>
      <c r="BL27" s="48">
        <v>187.5</v>
      </c>
      <c r="BM27" s="48">
        <v>187.5</v>
      </c>
      <c r="BN27" s="48">
        <v>187.5</v>
      </c>
      <c r="BO27" s="48">
        <v>187.5</v>
      </c>
      <c r="BP27" s="48">
        <v>187.5</v>
      </c>
      <c r="BQ27" s="48">
        <v>187.5</v>
      </c>
      <c r="BR27" s="48">
        <v>187.5</v>
      </c>
      <c r="BS27" s="48">
        <v>187.5</v>
      </c>
      <c r="BT27" s="48">
        <v>187.5</v>
      </c>
      <c r="BU27" s="47">
        <v>187.5</v>
      </c>
      <c r="BV27" s="40">
        <v>187.5</v>
      </c>
      <c r="BW27" s="40">
        <v>187.5</v>
      </c>
      <c r="BX27" s="40">
        <v>187.5</v>
      </c>
      <c r="BY27" s="48">
        <v>187.5</v>
      </c>
      <c r="BZ27" s="48">
        <v>187.5</v>
      </c>
      <c r="CA27" s="48">
        <v>187.5</v>
      </c>
      <c r="CB27" s="48">
        <v>187.5</v>
      </c>
      <c r="CC27" s="48">
        <v>187.5</v>
      </c>
      <c r="CD27" s="48">
        <v>187.5</v>
      </c>
      <c r="CE27" s="48">
        <v>187.5</v>
      </c>
      <c r="CF27" s="48">
        <v>187.5</v>
      </c>
      <c r="CG27" s="48">
        <v>187.5</v>
      </c>
      <c r="CH27" s="40">
        <f>187.5+750+1125</f>
        <v>2062.5</v>
      </c>
      <c r="CI27" s="40">
        <v>187.5</v>
      </c>
      <c r="CJ27" s="40">
        <v>187.5</v>
      </c>
      <c r="CK27" s="40">
        <v>187.5</v>
      </c>
      <c r="CL27" s="40">
        <v>187.5</v>
      </c>
      <c r="CM27" s="40">
        <v>187.5</v>
      </c>
      <c r="CN27" s="40">
        <v>187.5</v>
      </c>
      <c r="CO27" s="40">
        <v>187.5</v>
      </c>
      <c r="CP27" s="40">
        <v>187.5</v>
      </c>
      <c r="CQ27" s="40">
        <v>187.5</v>
      </c>
      <c r="CR27" s="40">
        <v>187.5</v>
      </c>
      <c r="CS27" s="48">
        <v>187.5</v>
      </c>
      <c r="CT27" s="40">
        <f>187.5+750+1125</f>
        <v>2062.5</v>
      </c>
      <c r="CU27" s="40">
        <v>187.5</v>
      </c>
      <c r="CV27" s="40">
        <v>187.5</v>
      </c>
      <c r="CW27" s="40">
        <v>187.5</v>
      </c>
      <c r="CX27" s="40">
        <v>187.5</v>
      </c>
      <c r="CY27" s="40">
        <v>187.5</v>
      </c>
      <c r="CZ27" s="40">
        <v>187.5</v>
      </c>
      <c r="DA27" s="40">
        <v>187.5</v>
      </c>
      <c r="DB27" s="40">
        <v>187.5</v>
      </c>
      <c r="DC27" s="40">
        <v>187.5</v>
      </c>
      <c r="DD27" s="40">
        <v>187.5</v>
      </c>
      <c r="DE27" s="40">
        <v>187.5</v>
      </c>
      <c r="DF27" s="40">
        <v>26583.5</v>
      </c>
      <c r="DG27" s="40">
        <v>187.5</v>
      </c>
      <c r="DH27" s="40">
        <v>187.5</v>
      </c>
      <c r="DI27" s="40">
        <v>187.5</v>
      </c>
      <c r="DJ27" s="40">
        <v>187.5</v>
      </c>
      <c r="DK27" s="40">
        <v>187.5</v>
      </c>
      <c r="DL27" s="40">
        <v>187.5</v>
      </c>
      <c r="DM27" s="40">
        <v>187.5</v>
      </c>
      <c r="DN27" s="40">
        <v>187.5</v>
      </c>
      <c r="DO27" s="40">
        <v>187.5</v>
      </c>
      <c r="DP27" s="40">
        <v>187.5</v>
      </c>
      <c r="DQ27" s="40">
        <v>187.5</v>
      </c>
      <c r="DR27" s="40">
        <f>187.5+5000</f>
        <v>5187.5</v>
      </c>
      <c r="DS27" s="40">
        <v>187.5</v>
      </c>
      <c r="DT27" s="40">
        <v>187.5</v>
      </c>
      <c r="DU27" s="40">
        <v>187.5</v>
      </c>
      <c r="DV27" s="40">
        <v>187.5</v>
      </c>
      <c r="DW27" s="40">
        <v>187.5</v>
      </c>
      <c r="DX27" s="40">
        <v>187.5</v>
      </c>
      <c r="DY27" s="40">
        <v>187.5</v>
      </c>
      <c r="DZ27" s="40">
        <v>187.5</v>
      </c>
      <c r="EA27" s="40">
        <v>187.5</v>
      </c>
      <c r="EB27" s="40">
        <v>187.5</v>
      </c>
      <c r="EC27" s="40">
        <v>187.5</v>
      </c>
      <c r="ED27" s="40">
        <v>1042.75</v>
      </c>
      <c r="EE27" s="40">
        <v>1042.75</v>
      </c>
      <c r="EF27" s="40">
        <v>1042.75</v>
      </c>
      <c r="EG27" s="40">
        <v>1042.75</v>
      </c>
      <c r="EH27" s="40">
        <v>1042.75</v>
      </c>
      <c r="EI27" s="40">
        <v>1042.75</v>
      </c>
      <c r="EJ27" s="40">
        <v>0</v>
      </c>
      <c r="EK27" s="40">
        <v>0</v>
      </c>
      <c r="EL27" s="40">
        <v>0</v>
      </c>
      <c r="EM27" s="40">
        <v>2085.5</v>
      </c>
      <c r="EN27" s="40">
        <v>2085.5</v>
      </c>
      <c r="EO27" s="40">
        <v>2085.5</v>
      </c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</row>
    <row r="28" spans="1:255" x14ac:dyDescent="0.25">
      <c r="A28" s="41" t="s">
        <v>176</v>
      </c>
      <c r="B28" s="40">
        <v>771.75</v>
      </c>
      <c r="C28" s="40">
        <v>771.75</v>
      </c>
      <c r="D28" s="40">
        <v>771.75</v>
      </c>
      <c r="E28" s="40">
        <v>771.75</v>
      </c>
      <c r="F28" s="40">
        <v>771.75</v>
      </c>
      <c r="G28" s="40">
        <v>771.75</v>
      </c>
      <c r="H28" s="40">
        <v>771.75</v>
      </c>
      <c r="I28" s="40">
        <v>771.75</v>
      </c>
      <c r="J28" s="40">
        <v>771.75</v>
      </c>
      <c r="K28" s="40">
        <v>771.75</v>
      </c>
      <c r="L28" s="40">
        <v>771.75</v>
      </c>
      <c r="M28" s="40">
        <v>771.75</v>
      </c>
      <c r="N28" s="40">
        <v>771.75</v>
      </c>
      <c r="O28" s="40">
        <v>771.75</v>
      </c>
      <c r="P28" s="40">
        <v>771.75</v>
      </c>
      <c r="Q28" s="40">
        <v>771.75</v>
      </c>
      <c r="R28" s="40">
        <v>771.75</v>
      </c>
      <c r="S28" s="40">
        <v>771.75</v>
      </c>
      <c r="T28" s="40">
        <v>771.75</v>
      </c>
      <c r="U28" s="40">
        <v>771.75</v>
      </c>
      <c r="V28" s="40">
        <v>771.75</v>
      </c>
      <c r="W28" s="40">
        <v>771.75</v>
      </c>
      <c r="X28" s="40">
        <v>771.75</v>
      </c>
      <c r="Y28" s="40">
        <v>4740.75</v>
      </c>
      <c r="Z28" s="40">
        <f>X28-Y28</f>
        <v>-3969</v>
      </c>
      <c r="AA28" s="59">
        <v>10768</v>
      </c>
      <c r="AB28" s="60">
        <v>13230</v>
      </c>
      <c r="AC28" s="40" t="s">
        <v>4</v>
      </c>
      <c r="AD28" s="40">
        <f>+B28+D28+F28+H28+J28+L28+N28+P28+R28+T28+V28+X28</f>
        <v>9261</v>
      </c>
      <c r="AE28" s="40">
        <f>+AI28/12*A108</f>
        <v>13230</v>
      </c>
      <c r="AF28" s="40">
        <f>+AD28-AE28</f>
        <v>-3969</v>
      </c>
      <c r="AG28" s="40">
        <f t="shared" si="11"/>
        <v>13230</v>
      </c>
      <c r="AH28" s="40" t="s">
        <v>4</v>
      </c>
      <c r="AI28" s="61">
        <v>13230</v>
      </c>
      <c r="AJ28" s="62">
        <f>AD28/AI28</f>
        <v>0.7</v>
      </c>
      <c r="AK28" s="62"/>
      <c r="AL28" s="40">
        <f>826.82+3307.5</f>
        <v>4134.32</v>
      </c>
      <c r="AM28" s="40">
        <v>826.88</v>
      </c>
      <c r="AN28" s="40">
        <v>826.88</v>
      </c>
      <c r="AO28" s="40">
        <v>826.88</v>
      </c>
      <c r="AP28" s="40">
        <v>826.88</v>
      </c>
      <c r="AQ28" s="40">
        <v>826.88</v>
      </c>
      <c r="AR28" s="40">
        <v>826.88</v>
      </c>
      <c r="AS28" s="40">
        <v>826.88</v>
      </c>
      <c r="AT28" s="40">
        <v>826.88</v>
      </c>
      <c r="AU28" s="40">
        <v>826.88</v>
      </c>
      <c r="AV28" s="40">
        <v>826.88</v>
      </c>
      <c r="AW28" s="40">
        <v>826.88</v>
      </c>
      <c r="AX28" s="40">
        <f>826.88+3307.44</f>
        <v>4134.32</v>
      </c>
      <c r="AY28" s="40">
        <v>826.88</v>
      </c>
      <c r="AZ28" s="40">
        <v>826.88</v>
      </c>
      <c r="BA28" s="40">
        <v>826.88</v>
      </c>
      <c r="BB28" s="40">
        <v>826.88</v>
      </c>
      <c r="BC28" s="40">
        <v>826.88</v>
      </c>
      <c r="BD28" s="40">
        <v>826.88</v>
      </c>
      <c r="BE28" s="40">
        <v>826.88</v>
      </c>
      <c r="BF28" s="40">
        <v>826.88</v>
      </c>
      <c r="BG28" s="40">
        <v>826.88</v>
      </c>
      <c r="BH28" s="40">
        <v>826.88</v>
      </c>
      <c r="BI28" s="47">
        <v>826.88</v>
      </c>
      <c r="BJ28" s="40">
        <v>1102.5</v>
      </c>
      <c r="BK28" s="40">
        <v>1102.5</v>
      </c>
      <c r="BL28" s="48">
        <v>1102.5</v>
      </c>
      <c r="BM28" s="48">
        <v>1102.5</v>
      </c>
      <c r="BN28" s="48">
        <v>1102.5</v>
      </c>
      <c r="BO28" s="48">
        <v>1102.5</v>
      </c>
      <c r="BP28" s="48">
        <v>1102.5</v>
      </c>
      <c r="BQ28" s="48">
        <v>1102.5</v>
      </c>
      <c r="BR28" s="48">
        <v>1102.5</v>
      </c>
      <c r="BS28" s="48">
        <v>1102.5</v>
      </c>
      <c r="BT28" s="48">
        <v>1102.5</v>
      </c>
      <c r="BU28" s="47">
        <v>1102.5</v>
      </c>
      <c r="BV28" s="40">
        <v>1102.5</v>
      </c>
      <c r="BW28" s="40">
        <v>1102.5</v>
      </c>
      <c r="BX28" s="40">
        <v>1102.5</v>
      </c>
      <c r="BY28" s="48">
        <v>1102.5</v>
      </c>
      <c r="BZ28" s="48">
        <v>1102.5</v>
      </c>
      <c r="CA28" s="48">
        <v>1102.5</v>
      </c>
      <c r="CB28" s="48">
        <v>1102.5</v>
      </c>
      <c r="CC28" s="48">
        <v>1102.5</v>
      </c>
      <c r="CD28" s="48">
        <v>1102.5</v>
      </c>
      <c r="CE28" s="48">
        <v>1102.5</v>
      </c>
      <c r="CF28" s="48">
        <v>1102.5</v>
      </c>
      <c r="CG28" s="48">
        <v>1102.5</v>
      </c>
      <c r="CH28" s="40">
        <f>1102.5+4410+3615</f>
        <v>9127.5</v>
      </c>
      <c r="CI28" s="40">
        <v>1102.5</v>
      </c>
      <c r="CJ28" s="40">
        <v>1102.5</v>
      </c>
      <c r="CK28" s="40">
        <v>1102.5</v>
      </c>
      <c r="CL28" s="40">
        <v>1102.5</v>
      </c>
      <c r="CM28" s="40">
        <v>1102.5</v>
      </c>
      <c r="CN28" s="40">
        <v>1102.5</v>
      </c>
      <c r="CO28" s="40">
        <v>1102.5</v>
      </c>
      <c r="CP28" s="40">
        <v>1102.5</v>
      </c>
      <c r="CQ28" s="40">
        <v>1102.5</v>
      </c>
      <c r="CR28" s="40">
        <v>1102.5</v>
      </c>
      <c r="CS28" s="48">
        <v>1102.5</v>
      </c>
      <c r="CT28" s="40">
        <f>1102.5+4410+3615</f>
        <v>9127.5</v>
      </c>
      <c r="CU28" s="40">
        <v>1102.5</v>
      </c>
      <c r="CV28" s="40">
        <v>1102.5</v>
      </c>
      <c r="CW28" s="40">
        <v>1102.5</v>
      </c>
      <c r="CX28" s="40">
        <v>1102.5</v>
      </c>
      <c r="CY28" s="40">
        <v>1102.5</v>
      </c>
      <c r="CZ28" s="40">
        <v>1102.5</v>
      </c>
      <c r="DA28" s="40">
        <v>1102.5</v>
      </c>
      <c r="DB28" s="40">
        <v>1102.5</v>
      </c>
      <c r="DC28" s="40">
        <v>1102.5</v>
      </c>
      <c r="DD28" s="40">
        <v>1102.5</v>
      </c>
      <c r="DE28" s="40">
        <v>1102.5</v>
      </c>
      <c r="DF28" s="40">
        <v>8332.5</v>
      </c>
      <c r="DG28" s="40">
        <v>1102.5</v>
      </c>
      <c r="DH28" s="40">
        <v>1102.5</v>
      </c>
      <c r="DI28" s="40">
        <v>1102.5</v>
      </c>
      <c r="DJ28" s="40">
        <v>1102.5</v>
      </c>
      <c r="DK28" s="40">
        <v>1102.5</v>
      </c>
      <c r="DL28" s="40">
        <v>1102.5</v>
      </c>
      <c r="DM28" s="40">
        <v>1102.5</v>
      </c>
      <c r="DN28" s="40">
        <v>1102.5</v>
      </c>
      <c r="DO28" s="40">
        <v>1102.5</v>
      </c>
      <c r="DP28" s="40">
        <v>1102.5</v>
      </c>
      <c r="DQ28" s="40">
        <v>1102.5</v>
      </c>
      <c r="DR28" s="40">
        <f>937.5+5000</f>
        <v>5937.5</v>
      </c>
      <c r="DS28" s="40">
        <v>937.5</v>
      </c>
      <c r="DT28" s="40">
        <v>937.5</v>
      </c>
      <c r="DU28" s="40">
        <v>937.5</v>
      </c>
      <c r="DV28" s="40">
        <v>937.5</v>
      </c>
      <c r="DW28" s="40">
        <v>937.5</v>
      </c>
      <c r="DX28" s="40">
        <v>937.5</v>
      </c>
      <c r="DY28" s="40">
        <v>937.5</v>
      </c>
      <c r="DZ28" s="40">
        <v>937.5</v>
      </c>
      <c r="EA28" s="40">
        <v>937.5</v>
      </c>
      <c r="EB28" s="40">
        <v>937.5</v>
      </c>
      <c r="EC28" s="40">
        <v>937.5</v>
      </c>
      <c r="ED28" s="40">
        <v>9544.75</v>
      </c>
      <c r="EE28" s="40">
        <v>744.75</v>
      </c>
      <c r="EF28" s="40">
        <v>744.75</v>
      </c>
      <c r="EG28" s="40">
        <v>744.75</v>
      </c>
      <c r="EH28" s="40">
        <v>744.75</v>
      </c>
      <c r="EI28" s="40">
        <v>744.75</v>
      </c>
      <c r="EJ28" s="40">
        <v>0</v>
      </c>
      <c r="EK28" s="40">
        <v>0</v>
      </c>
      <c r="EL28" s="40">
        <v>0</v>
      </c>
      <c r="EM28" s="40">
        <v>1489.5</v>
      </c>
      <c r="EN28" s="40">
        <v>1489.5</v>
      </c>
      <c r="EO28" s="40">
        <v>1489.5</v>
      </c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</row>
    <row r="29" spans="1:255" x14ac:dyDescent="0.25">
      <c r="A29" s="41" t="s">
        <v>177</v>
      </c>
      <c r="B29" s="40">
        <v>850.5</v>
      </c>
      <c r="C29" s="40">
        <v>850.5</v>
      </c>
      <c r="D29" s="40">
        <v>850.5</v>
      </c>
      <c r="E29" s="40">
        <v>850.5</v>
      </c>
      <c r="F29" s="40">
        <v>850.5</v>
      </c>
      <c r="G29" s="40">
        <v>850.5</v>
      </c>
      <c r="H29" s="40">
        <v>850.5</v>
      </c>
      <c r="I29" s="40">
        <v>850.5</v>
      </c>
      <c r="J29" s="40">
        <v>850.5</v>
      </c>
      <c r="K29" s="40">
        <v>850.5</v>
      </c>
      <c r="L29" s="40">
        <v>850.5</v>
      </c>
      <c r="M29" s="40">
        <v>850.5</v>
      </c>
      <c r="N29" s="40">
        <v>850.5</v>
      </c>
      <c r="O29" s="40">
        <v>850.5</v>
      </c>
      <c r="P29" s="40">
        <v>850.5</v>
      </c>
      <c r="Q29" s="40">
        <v>850.5</v>
      </c>
      <c r="R29" s="40">
        <v>850.5</v>
      </c>
      <c r="S29" s="40">
        <v>850.5</v>
      </c>
      <c r="T29" s="40">
        <v>850.5</v>
      </c>
      <c r="U29" s="40">
        <v>850.5</v>
      </c>
      <c r="V29" s="40">
        <v>850.5</v>
      </c>
      <c r="W29" s="40">
        <v>850.5</v>
      </c>
      <c r="X29" s="40">
        <v>850.5</v>
      </c>
      <c r="Y29" s="40">
        <v>5224.5</v>
      </c>
      <c r="Z29" s="40">
        <f>X29-Y29</f>
        <v>-4374</v>
      </c>
      <c r="AA29" s="59">
        <v>11800</v>
      </c>
      <c r="AB29" s="60">
        <v>14580</v>
      </c>
      <c r="AC29" s="40" t="s">
        <v>4</v>
      </c>
      <c r="AD29" s="40">
        <f>+B29+D29+F29+H29+J29+L29+N29+P29+R29+T29+V29+X29</f>
        <v>10206</v>
      </c>
      <c r="AE29" s="40">
        <f>+AI29/12*A108</f>
        <v>14580</v>
      </c>
      <c r="AF29" s="40">
        <f>+AD29-AE29</f>
        <v>-4374</v>
      </c>
      <c r="AG29" s="40">
        <f t="shared" si="11"/>
        <v>14580</v>
      </c>
      <c r="AH29" s="40" t="s">
        <v>4</v>
      </c>
      <c r="AI29" s="61">
        <v>14580</v>
      </c>
      <c r="AJ29" s="62">
        <f>AD29/AI29</f>
        <v>0.7</v>
      </c>
      <c r="AK29" s="62"/>
      <c r="AL29" s="40">
        <f>911.25+3645</f>
        <v>4556.25</v>
      </c>
      <c r="AM29" s="40">
        <v>911.25</v>
      </c>
      <c r="AN29" s="40">
        <v>911.25</v>
      </c>
      <c r="AO29" s="40">
        <v>911.25</v>
      </c>
      <c r="AP29" s="40">
        <v>911.25</v>
      </c>
      <c r="AQ29" s="40">
        <v>911.25</v>
      </c>
      <c r="AR29" s="40">
        <v>911.25</v>
      </c>
      <c r="AS29" s="40">
        <v>911.25</v>
      </c>
      <c r="AT29" s="40">
        <v>911.25</v>
      </c>
      <c r="AU29" s="40">
        <v>911.25</v>
      </c>
      <c r="AV29" s="40">
        <v>911.25</v>
      </c>
      <c r="AW29" s="40">
        <v>911.25</v>
      </c>
      <c r="AX29" s="40">
        <f>911.25+3645</f>
        <v>4556.25</v>
      </c>
      <c r="AY29" s="40">
        <v>911.25</v>
      </c>
      <c r="AZ29" s="40">
        <v>911.25</v>
      </c>
      <c r="BA29" s="40">
        <v>911.25</v>
      </c>
      <c r="BB29" s="40">
        <v>911.25</v>
      </c>
      <c r="BC29" s="40">
        <v>911.25</v>
      </c>
      <c r="BD29" s="40">
        <v>911.25</v>
      </c>
      <c r="BE29" s="40">
        <v>911.25</v>
      </c>
      <c r="BF29" s="40">
        <v>911.25</v>
      </c>
      <c r="BG29" s="40">
        <v>911.25</v>
      </c>
      <c r="BH29" s="40">
        <v>911.25</v>
      </c>
      <c r="BI29" s="47">
        <v>911.25</v>
      </c>
      <c r="BJ29" s="40">
        <v>1215</v>
      </c>
      <c r="BK29" s="40">
        <v>1215</v>
      </c>
      <c r="BL29" s="48">
        <v>1215</v>
      </c>
      <c r="BM29" s="48">
        <v>1215</v>
      </c>
      <c r="BN29" s="48">
        <v>1215</v>
      </c>
      <c r="BO29" s="48">
        <v>1215</v>
      </c>
      <c r="BP29" s="48">
        <v>1215</v>
      </c>
      <c r="BQ29" s="48">
        <v>1215</v>
      </c>
      <c r="BR29" s="48">
        <v>1215</v>
      </c>
      <c r="BS29" s="48">
        <v>1215</v>
      </c>
      <c r="BT29" s="48">
        <v>1215</v>
      </c>
      <c r="BU29" s="47">
        <v>1215</v>
      </c>
      <c r="BV29" s="40">
        <v>1215</v>
      </c>
      <c r="BW29" s="40">
        <v>1215</v>
      </c>
      <c r="BX29" s="40">
        <v>1215</v>
      </c>
      <c r="BY29" s="48">
        <v>1215</v>
      </c>
      <c r="BZ29" s="48">
        <v>1215</v>
      </c>
      <c r="CA29" s="48">
        <v>1215</v>
      </c>
      <c r="CB29" s="48">
        <v>1215</v>
      </c>
      <c r="CC29" s="48">
        <v>1215</v>
      </c>
      <c r="CD29" s="48">
        <v>1215</v>
      </c>
      <c r="CE29" s="48">
        <v>1215</v>
      </c>
      <c r="CF29" s="48">
        <v>1215</v>
      </c>
      <c r="CG29" s="48">
        <v>1215</v>
      </c>
      <c r="CH29" s="40">
        <f>1215+4860+9290</f>
        <v>15365</v>
      </c>
      <c r="CI29" s="40">
        <v>1215</v>
      </c>
      <c r="CJ29" s="40">
        <v>1215</v>
      </c>
      <c r="CK29" s="40">
        <v>1215</v>
      </c>
      <c r="CL29" s="40">
        <v>1215</v>
      </c>
      <c r="CM29" s="40">
        <v>1215</v>
      </c>
      <c r="CN29" s="40">
        <v>1215</v>
      </c>
      <c r="CO29" s="40">
        <v>1215</v>
      </c>
      <c r="CP29" s="40">
        <v>1215</v>
      </c>
      <c r="CQ29" s="40">
        <v>1215</v>
      </c>
      <c r="CR29" s="40">
        <v>1215</v>
      </c>
      <c r="CS29" s="48">
        <v>1215</v>
      </c>
      <c r="CT29" s="40">
        <f>1215+4860+9290</f>
        <v>15365</v>
      </c>
      <c r="CU29" s="40">
        <v>1215</v>
      </c>
      <c r="CV29" s="40">
        <v>1215</v>
      </c>
      <c r="CW29" s="40">
        <v>1215</v>
      </c>
      <c r="CX29" s="40">
        <v>1215</v>
      </c>
      <c r="CY29" s="40">
        <v>1215</v>
      </c>
      <c r="CZ29" s="40">
        <v>1215</v>
      </c>
      <c r="DA29" s="40">
        <v>1215</v>
      </c>
      <c r="DB29" s="40">
        <v>1215</v>
      </c>
      <c r="DC29" s="40">
        <v>1215</v>
      </c>
      <c r="DD29" s="40">
        <v>1215</v>
      </c>
      <c r="DE29" s="40">
        <v>1215</v>
      </c>
      <c r="DF29" s="40">
        <v>21020</v>
      </c>
      <c r="DG29" s="40">
        <v>1215</v>
      </c>
      <c r="DH29" s="40">
        <v>1215</v>
      </c>
      <c r="DI29" s="40">
        <v>1215</v>
      </c>
      <c r="DJ29" s="40">
        <v>1215</v>
      </c>
      <c r="DK29" s="40">
        <v>1215</v>
      </c>
      <c r="DL29" s="40">
        <v>1215</v>
      </c>
      <c r="DM29" s="40">
        <v>1215</v>
      </c>
      <c r="DN29" s="40">
        <v>1215</v>
      </c>
      <c r="DO29" s="40">
        <v>1215</v>
      </c>
      <c r="DP29" s="40">
        <v>1215</v>
      </c>
      <c r="DQ29" s="40">
        <v>1215</v>
      </c>
      <c r="DR29" s="40">
        <f>937.5+10000</f>
        <v>10937.5</v>
      </c>
      <c r="DS29" s="40">
        <v>937.5</v>
      </c>
      <c r="DT29" s="40">
        <v>937.5</v>
      </c>
      <c r="DU29" s="40">
        <v>937.5</v>
      </c>
      <c r="DV29" s="40">
        <v>937.5</v>
      </c>
      <c r="DW29" s="40">
        <v>937.5</v>
      </c>
      <c r="DX29" s="40">
        <v>937.5</v>
      </c>
      <c r="DY29" s="40">
        <v>937.5</v>
      </c>
      <c r="DZ29" s="40">
        <v>937.5</v>
      </c>
      <c r="EA29" s="40">
        <v>937.5</v>
      </c>
      <c r="EB29" s="40">
        <v>937.5</v>
      </c>
      <c r="EC29" s="40">
        <v>937.5</v>
      </c>
      <c r="ED29" s="40">
        <v>16051.63</v>
      </c>
      <c r="EE29" s="40">
        <v>1251.6300000000001</v>
      </c>
      <c r="EF29" s="40">
        <v>1251.6300000000001</v>
      </c>
      <c r="EG29" s="40">
        <v>1251.6300000000001</v>
      </c>
      <c r="EH29" s="40">
        <v>1251.6300000000001</v>
      </c>
      <c r="EI29" s="40">
        <v>1251.6300000000001</v>
      </c>
      <c r="EJ29" s="40">
        <v>0</v>
      </c>
      <c r="EK29" s="40">
        <v>0</v>
      </c>
      <c r="EL29" s="40">
        <v>0</v>
      </c>
      <c r="EM29" s="40">
        <v>2503.25</v>
      </c>
      <c r="EN29" s="40">
        <v>2503.25</v>
      </c>
      <c r="EO29" s="40">
        <v>2503.25</v>
      </c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</row>
    <row r="30" spans="1:255" x14ac:dyDescent="0.25">
      <c r="A30" s="41" t="s">
        <v>178</v>
      </c>
      <c r="B30" s="40">
        <f>873.25+873.25</f>
        <v>1746.5</v>
      </c>
      <c r="C30" s="40">
        <f>873.25+873.25</f>
        <v>1746.5</v>
      </c>
      <c r="D30" s="40">
        <v>1746.5</v>
      </c>
      <c r="E30" s="40">
        <f>873.25+873.25</f>
        <v>1746.5</v>
      </c>
      <c r="F30" s="40">
        <f>873.25+873.25</f>
        <v>1746.5</v>
      </c>
      <c r="G30" s="40">
        <v>1746.5</v>
      </c>
      <c r="H30" s="40">
        <f>873.25+873.25</f>
        <v>1746.5</v>
      </c>
      <c r="I30" s="40">
        <v>1746.5</v>
      </c>
      <c r="J30" s="40">
        <f t="shared" ref="J30:O30" si="12">873.25+873.25</f>
        <v>1746.5</v>
      </c>
      <c r="K30" s="40">
        <f t="shared" si="12"/>
        <v>1746.5</v>
      </c>
      <c r="L30" s="40">
        <f t="shared" si="12"/>
        <v>1746.5</v>
      </c>
      <c r="M30" s="40">
        <f t="shared" si="12"/>
        <v>1746.5</v>
      </c>
      <c r="N30" s="40">
        <f t="shared" si="12"/>
        <v>1746.5</v>
      </c>
      <c r="O30" s="40">
        <f t="shared" si="12"/>
        <v>1746.5</v>
      </c>
      <c r="P30" s="40">
        <f>873.25+873.25</f>
        <v>1746.5</v>
      </c>
      <c r="Q30" s="40">
        <v>1746.5</v>
      </c>
      <c r="R30" s="40">
        <v>1746.5</v>
      </c>
      <c r="S30" s="40">
        <f>873.25+873.25</f>
        <v>1746.5</v>
      </c>
      <c r="T30" s="40">
        <v>1746.5</v>
      </c>
      <c r="U30" s="40">
        <v>1746.5</v>
      </c>
      <c r="V30" s="40">
        <f>873.25+873.25</f>
        <v>1746.5</v>
      </c>
      <c r="W30" s="40">
        <f>873.25+873.25</f>
        <v>1746.5</v>
      </c>
      <c r="X30" s="40">
        <f>873.25+873.25</f>
        <v>1746.5</v>
      </c>
      <c r="Y30" s="40">
        <f>5364.25+5364.25</f>
        <v>10728.5</v>
      </c>
      <c r="Z30" s="40">
        <f>X30-Y30</f>
        <v>-8982</v>
      </c>
      <c r="AA30" s="59">
        <v>24338</v>
      </c>
      <c r="AB30" s="60">
        <v>29940</v>
      </c>
      <c r="AC30" s="40" t="s">
        <v>4</v>
      </c>
      <c r="AD30" s="40">
        <f>+B30+D30+F30+H30+J30+L30+N30+P30+R30+T30+V30+X30</f>
        <v>20958</v>
      </c>
      <c r="AE30" s="64">
        <f>+AI30/12*A108</f>
        <v>29940</v>
      </c>
      <c r="AF30" s="64">
        <f>+AD30-AE30</f>
        <v>-8982</v>
      </c>
      <c r="AG30" s="40">
        <f t="shared" si="11"/>
        <v>29940</v>
      </c>
      <c r="AH30" s="40" t="s">
        <v>4</v>
      </c>
      <c r="AI30" s="63">
        <v>29940</v>
      </c>
      <c r="AJ30" s="62">
        <f>AD30/AI30</f>
        <v>0.7</v>
      </c>
      <c r="AK30" s="62"/>
      <c r="AL30" s="40">
        <f>935.57+935.57+7485</f>
        <v>9356.14</v>
      </c>
      <c r="AM30" s="40">
        <f t="shared" ref="AM30:AW30" si="13">935.63+935.63</f>
        <v>1871.26</v>
      </c>
      <c r="AN30" s="40">
        <f t="shared" si="13"/>
        <v>1871.26</v>
      </c>
      <c r="AO30" s="40">
        <f t="shared" si="13"/>
        <v>1871.26</v>
      </c>
      <c r="AP30" s="40">
        <f t="shared" si="13"/>
        <v>1871.26</v>
      </c>
      <c r="AQ30" s="40">
        <f t="shared" si="13"/>
        <v>1871.26</v>
      </c>
      <c r="AR30" s="40">
        <f t="shared" si="13"/>
        <v>1871.26</v>
      </c>
      <c r="AS30" s="40">
        <f t="shared" si="13"/>
        <v>1871.26</v>
      </c>
      <c r="AT30" s="40">
        <f t="shared" si="13"/>
        <v>1871.26</v>
      </c>
      <c r="AU30" s="40">
        <f t="shared" si="13"/>
        <v>1871.26</v>
      </c>
      <c r="AV30" s="40">
        <f t="shared" si="13"/>
        <v>1871.26</v>
      </c>
      <c r="AW30" s="40">
        <f t="shared" si="13"/>
        <v>1871.26</v>
      </c>
      <c r="AX30" s="40">
        <f>935.63+935.63+3742.44+3742.44</f>
        <v>9356.14</v>
      </c>
      <c r="AY30" s="40">
        <f t="shared" ref="AY30:BH30" si="14">935.63+935.63</f>
        <v>1871.26</v>
      </c>
      <c r="AZ30" s="40">
        <f t="shared" si="14"/>
        <v>1871.26</v>
      </c>
      <c r="BA30" s="40">
        <f t="shared" si="14"/>
        <v>1871.26</v>
      </c>
      <c r="BB30" s="40">
        <f t="shared" si="14"/>
        <v>1871.26</v>
      </c>
      <c r="BC30" s="40">
        <f t="shared" si="14"/>
        <v>1871.26</v>
      </c>
      <c r="BD30" s="40">
        <f t="shared" si="14"/>
        <v>1871.26</v>
      </c>
      <c r="BE30" s="40">
        <f t="shared" si="14"/>
        <v>1871.26</v>
      </c>
      <c r="BF30" s="40">
        <f t="shared" si="14"/>
        <v>1871.26</v>
      </c>
      <c r="BG30" s="40">
        <f t="shared" si="14"/>
        <v>1871.26</v>
      </c>
      <c r="BH30" s="40">
        <f t="shared" si="14"/>
        <v>1871.26</v>
      </c>
      <c r="BI30" s="47">
        <v>1871.26</v>
      </c>
      <c r="BJ30" s="40">
        <f>1247.39+1247.39</f>
        <v>2494.7800000000002</v>
      </c>
      <c r="BK30" s="40">
        <f t="shared" ref="BK30:BU30" si="15">1247.51+1247.51</f>
        <v>2495.02</v>
      </c>
      <c r="BL30" s="48">
        <f t="shared" si="15"/>
        <v>2495.02</v>
      </c>
      <c r="BM30" s="48">
        <f t="shared" si="15"/>
        <v>2495.02</v>
      </c>
      <c r="BN30" s="48">
        <f t="shared" si="15"/>
        <v>2495.02</v>
      </c>
      <c r="BO30" s="48">
        <f t="shared" si="15"/>
        <v>2495.02</v>
      </c>
      <c r="BP30" s="48">
        <f t="shared" si="15"/>
        <v>2495.02</v>
      </c>
      <c r="BQ30" s="48">
        <f t="shared" si="15"/>
        <v>2495.02</v>
      </c>
      <c r="BR30" s="48">
        <f t="shared" si="15"/>
        <v>2495.02</v>
      </c>
      <c r="BS30" s="48">
        <f t="shared" si="15"/>
        <v>2495.02</v>
      </c>
      <c r="BT30" s="48">
        <f t="shared" si="15"/>
        <v>2495.02</v>
      </c>
      <c r="BU30" s="47">
        <f t="shared" si="15"/>
        <v>2495.02</v>
      </c>
      <c r="BV30" s="40">
        <f>1247.39+1247.39</f>
        <v>2494.7800000000002</v>
      </c>
      <c r="BW30" s="40">
        <f t="shared" ref="BW30:CG30" si="16">1247.51+1247.51</f>
        <v>2495.02</v>
      </c>
      <c r="BX30" s="64">
        <f t="shared" si="16"/>
        <v>2495.02</v>
      </c>
      <c r="BY30" s="48">
        <f t="shared" si="16"/>
        <v>2495.02</v>
      </c>
      <c r="BZ30" s="48">
        <f t="shared" si="16"/>
        <v>2495.02</v>
      </c>
      <c r="CA30" s="48">
        <f t="shared" si="16"/>
        <v>2495.02</v>
      </c>
      <c r="CB30" s="48">
        <f t="shared" si="16"/>
        <v>2495.02</v>
      </c>
      <c r="CC30" s="48">
        <f t="shared" si="16"/>
        <v>2495.02</v>
      </c>
      <c r="CD30" s="48">
        <f t="shared" si="16"/>
        <v>2495.02</v>
      </c>
      <c r="CE30" s="48">
        <f t="shared" si="16"/>
        <v>2495.02</v>
      </c>
      <c r="CF30" s="48">
        <f t="shared" si="16"/>
        <v>2495.02</v>
      </c>
      <c r="CG30" s="48">
        <f t="shared" si="16"/>
        <v>2495.02</v>
      </c>
      <c r="CH30" s="64">
        <f>1247.51+1247.51+9979.76+20970</f>
        <v>33444.78</v>
      </c>
      <c r="CI30" s="64">
        <f t="shared" ref="CI30:CS30" si="17">1247.51+1247.51</f>
        <v>2495.02</v>
      </c>
      <c r="CJ30" s="64">
        <f t="shared" si="17"/>
        <v>2495.02</v>
      </c>
      <c r="CK30" s="64">
        <f t="shared" si="17"/>
        <v>2495.02</v>
      </c>
      <c r="CL30" s="64">
        <f t="shared" si="17"/>
        <v>2495.02</v>
      </c>
      <c r="CM30" s="64">
        <f t="shared" si="17"/>
        <v>2495.02</v>
      </c>
      <c r="CN30" s="64">
        <f t="shared" si="17"/>
        <v>2495.02</v>
      </c>
      <c r="CO30" s="64">
        <f t="shared" si="17"/>
        <v>2495.02</v>
      </c>
      <c r="CP30" s="64">
        <f t="shared" si="17"/>
        <v>2495.02</v>
      </c>
      <c r="CQ30" s="64">
        <f t="shared" si="17"/>
        <v>2495.02</v>
      </c>
      <c r="CR30" s="40">
        <f t="shared" si="17"/>
        <v>2495.02</v>
      </c>
      <c r="CS30" s="48">
        <f t="shared" si="17"/>
        <v>2495.02</v>
      </c>
      <c r="CT30" s="64">
        <f>1247.39+1247.39+4990+4990+20970</f>
        <v>33444.78</v>
      </c>
      <c r="CU30" s="64">
        <f t="shared" ref="CU30:DE30" si="18">1247.51+1247.51</f>
        <v>2495.02</v>
      </c>
      <c r="CV30" s="64">
        <f t="shared" si="18"/>
        <v>2495.02</v>
      </c>
      <c r="CW30" s="64">
        <f t="shared" si="18"/>
        <v>2495.02</v>
      </c>
      <c r="CX30" s="64">
        <f t="shared" si="18"/>
        <v>2495.02</v>
      </c>
      <c r="CY30" s="64">
        <f t="shared" si="18"/>
        <v>2495.02</v>
      </c>
      <c r="CZ30" s="64">
        <f t="shared" si="18"/>
        <v>2495.02</v>
      </c>
      <c r="DA30" s="64">
        <f t="shared" si="18"/>
        <v>2495.02</v>
      </c>
      <c r="DB30" s="64">
        <f t="shared" si="18"/>
        <v>2495.02</v>
      </c>
      <c r="DC30" s="64">
        <f t="shared" si="18"/>
        <v>2495.02</v>
      </c>
      <c r="DD30" s="64">
        <f t="shared" si="18"/>
        <v>2495.02</v>
      </c>
      <c r="DE30" s="40">
        <f t="shared" si="18"/>
        <v>2495.02</v>
      </c>
      <c r="DF30" s="64">
        <v>33983.78</v>
      </c>
      <c r="DG30" s="64">
        <f t="shared" ref="DG30:DQ30" si="19">1247.51+1247.51</f>
        <v>2495.02</v>
      </c>
      <c r="DH30" s="64">
        <f t="shared" si="19"/>
        <v>2495.02</v>
      </c>
      <c r="DI30" s="64">
        <f t="shared" si="19"/>
        <v>2495.02</v>
      </c>
      <c r="DJ30" s="64">
        <f t="shared" si="19"/>
        <v>2495.02</v>
      </c>
      <c r="DK30" s="64">
        <f t="shared" si="19"/>
        <v>2495.02</v>
      </c>
      <c r="DL30" s="64">
        <f t="shared" si="19"/>
        <v>2495.02</v>
      </c>
      <c r="DM30" s="64">
        <f t="shared" si="19"/>
        <v>2495.02</v>
      </c>
      <c r="DN30" s="64">
        <f t="shared" si="19"/>
        <v>2495.02</v>
      </c>
      <c r="DO30" s="64">
        <f t="shared" si="19"/>
        <v>2495.02</v>
      </c>
      <c r="DP30" s="64">
        <f t="shared" si="19"/>
        <v>2495.02</v>
      </c>
      <c r="DQ30" s="40">
        <f t="shared" si="19"/>
        <v>2495.02</v>
      </c>
      <c r="DR30" s="64">
        <f>1000+1000+20000</f>
        <v>22000</v>
      </c>
      <c r="DS30" s="64">
        <f>1000+1000</f>
        <v>2000</v>
      </c>
      <c r="DT30" s="64">
        <f>1000+1000</f>
        <v>2000</v>
      </c>
      <c r="DU30" s="64">
        <f>1000+1000</f>
        <v>2000</v>
      </c>
      <c r="DV30" s="64">
        <f>1000+1000</f>
        <v>2000</v>
      </c>
      <c r="DW30" s="64">
        <v>2000</v>
      </c>
      <c r="DX30" s="64">
        <f t="shared" ref="DX30:EC30" si="20">1000+1000</f>
        <v>2000</v>
      </c>
      <c r="DY30" s="64">
        <f t="shared" si="20"/>
        <v>2000</v>
      </c>
      <c r="DZ30" s="64">
        <f t="shared" si="20"/>
        <v>2000</v>
      </c>
      <c r="EA30" s="64">
        <f t="shared" si="20"/>
        <v>2000</v>
      </c>
      <c r="EB30" s="64">
        <f t="shared" si="20"/>
        <v>2000</v>
      </c>
      <c r="EC30" s="64">
        <f t="shared" si="20"/>
        <v>2000</v>
      </c>
      <c r="ED30" s="64">
        <v>28635.26</v>
      </c>
      <c r="EE30" s="64">
        <v>2235.2600000000002</v>
      </c>
      <c r="EF30" s="64">
        <v>2235.2600000000002</v>
      </c>
      <c r="EG30" s="64">
        <v>2235.2600000000002</v>
      </c>
      <c r="EH30" s="64">
        <v>2235.2600000000002</v>
      </c>
      <c r="EI30" s="64">
        <v>2235.2600000000002</v>
      </c>
      <c r="EJ30" s="64">
        <v>0</v>
      </c>
      <c r="EK30" s="64">
        <v>0</v>
      </c>
      <c r="EL30" s="64">
        <v>0</v>
      </c>
      <c r="EM30" s="64">
        <v>4470.5</v>
      </c>
      <c r="EN30" s="64">
        <v>4470.5</v>
      </c>
      <c r="EO30" s="64">
        <f>2235.25+2235.25</f>
        <v>4470.5</v>
      </c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101" customFormat="1" ht="15.6" x14ac:dyDescent="0.3">
      <c r="A31" s="92" t="s">
        <v>179</v>
      </c>
      <c r="B31" s="93">
        <f>SUM(B27:B30)</f>
        <v>3500</v>
      </c>
      <c r="C31" s="93">
        <f>SUM(C27:C30)</f>
        <v>3500</v>
      </c>
      <c r="D31" s="93">
        <f t="shared" ref="D31:X31" si="21">SUM(D27:D30)</f>
        <v>3500</v>
      </c>
      <c r="E31" s="93">
        <f>SUM(E27:E30)</f>
        <v>3500</v>
      </c>
      <c r="F31" s="93">
        <f t="shared" si="21"/>
        <v>3500</v>
      </c>
      <c r="G31" s="93">
        <f>SUM(G27:G30)</f>
        <v>3500</v>
      </c>
      <c r="H31" s="93">
        <f t="shared" si="21"/>
        <v>3500</v>
      </c>
      <c r="I31" s="93">
        <f>SUM(I27:I30)</f>
        <v>3500</v>
      </c>
      <c r="J31" s="93">
        <f t="shared" si="21"/>
        <v>3500</v>
      </c>
      <c r="K31" s="93">
        <f>SUM(K27:K30)</f>
        <v>3500</v>
      </c>
      <c r="L31" s="93">
        <f t="shared" si="21"/>
        <v>3500</v>
      </c>
      <c r="M31" s="93">
        <f>SUM(M27:M30)</f>
        <v>3500</v>
      </c>
      <c r="N31" s="93">
        <f t="shared" si="21"/>
        <v>3500</v>
      </c>
      <c r="O31" s="93">
        <f>SUM(O27:O30)</f>
        <v>3500</v>
      </c>
      <c r="P31" s="93">
        <f t="shared" si="21"/>
        <v>3500</v>
      </c>
      <c r="Q31" s="93">
        <f>SUM(Q27:Q30)</f>
        <v>3500</v>
      </c>
      <c r="R31" s="93">
        <f t="shared" si="21"/>
        <v>3500</v>
      </c>
      <c r="S31" s="93">
        <f>SUM(S27:S30)</f>
        <v>3500</v>
      </c>
      <c r="T31" s="93">
        <f t="shared" si="21"/>
        <v>3500</v>
      </c>
      <c r="U31" s="93">
        <f>SUM(U27:U30)</f>
        <v>3500</v>
      </c>
      <c r="V31" s="93">
        <f t="shared" si="21"/>
        <v>3500</v>
      </c>
      <c r="W31" s="93">
        <f>SUM(W27:W30)</f>
        <v>3500</v>
      </c>
      <c r="X31" s="93">
        <f t="shared" si="21"/>
        <v>3500</v>
      </c>
      <c r="Y31" s="93">
        <f>SUM(Y27:Y30)</f>
        <v>21500</v>
      </c>
      <c r="Z31" s="93">
        <f>SUM(Z27:Z30)</f>
        <v>-18000</v>
      </c>
      <c r="AA31" s="94">
        <v>48676</v>
      </c>
      <c r="AB31" s="95">
        <v>60000</v>
      </c>
      <c r="AC31" s="96" t="s">
        <v>4</v>
      </c>
      <c r="AD31" s="93">
        <f>SUM(AD27:AD30)</f>
        <v>42000</v>
      </c>
      <c r="AE31" s="96">
        <f>SUM(AE27:AE30)</f>
        <v>60000</v>
      </c>
      <c r="AF31" s="96">
        <f>SUM(AF27:AF30)</f>
        <v>-18000</v>
      </c>
      <c r="AG31" s="93">
        <f>SUM(AG27:AG30)</f>
        <v>60000</v>
      </c>
      <c r="AH31" s="96" t="s">
        <v>4</v>
      </c>
      <c r="AI31" s="97">
        <f>SUM(AI27:AI30)</f>
        <v>60000</v>
      </c>
      <c r="AJ31" s="98">
        <f>+AD31/AI31</f>
        <v>0.7</v>
      </c>
      <c r="AK31" s="98"/>
      <c r="AL31" s="93">
        <f t="shared" ref="AL31:CW31" si="22">SUM(AL27:AL30)</f>
        <v>18749.78</v>
      </c>
      <c r="AM31" s="93">
        <f t="shared" si="22"/>
        <v>3750.02</v>
      </c>
      <c r="AN31" s="93">
        <f t="shared" si="22"/>
        <v>3750.02</v>
      </c>
      <c r="AO31" s="93">
        <f t="shared" si="22"/>
        <v>3750.02</v>
      </c>
      <c r="AP31" s="93">
        <f t="shared" si="22"/>
        <v>3750.02</v>
      </c>
      <c r="AQ31" s="93">
        <f t="shared" si="22"/>
        <v>3750.02</v>
      </c>
      <c r="AR31" s="93">
        <f t="shared" si="22"/>
        <v>3750.02</v>
      </c>
      <c r="AS31" s="93">
        <f t="shared" si="22"/>
        <v>3750.02</v>
      </c>
      <c r="AT31" s="93">
        <f t="shared" si="22"/>
        <v>3750.02</v>
      </c>
      <c r="AU31" s="93">
        <f t="shared" si="22"/>
        <v>3750.02</v>
      </c>
      <c r="AV31" s="93">
        <f t="shared" si="22"/>
        <v>3750.02</v>
      </c>
      <c r="AW31" s="93">
        <f t="shared" si="22"/>
        <v>3750.02</v>
      </c>
      <c r="AX31" s="99">
        <f t="shared" si="22"/>
        <v>18749.78</v>
      </c>
      <c r="AY31" s="99">
        <f t="shared" si="22"/>
        <v>3750.02</v>
      </c>
      <c r="AZ31" s="99">
        <f t="shared" si="22"/>
        <v>3750.02</v>
      </c>
      <c r="BA31" s="99">
        <f t="shared" si="22"/>
        <v>3750.02</v>
      </c>
      <c r="BB31" s="99">
        <f t="shared" si="22"/>
        <v>3750.02</v>
      </c>
      <c r="BC31" s="99">
        <f t="shared" si="22"/>
        <v>3750.02</v>
      </c>
      <c r="BD31" s="99">
        <f t="shared" si="22"/>
        <v>3750.02</v>
      </c>
      <c r="BE31" s="99">
        <f t="shared" si="22"/>
        <v>3750.02</v>
      </c>
      <c r="BF31" s="99">
        <f t="shared" si="22"/>
        <v>3750.02</v>
      </c>
      <c r="BG31" s="99">
        <f t="shared" si="22"/>
        <v>3750.02</v>
      </c>
      <c r="BH31" s="99">
        <f t="shared" si="22"/>
        <v>3750.02</v>
      </c>
      <c r="BI31" s="99">
        <f t="shared" si="22"/>
        <v>3750.02</v>
      </c>
      <c r="BJ31" s="93">
        <f t="shared" si="22"/>
        <v>4999.7800000000007</v>
      </c>
      <c r="BK31" s="93">
        <f t="shared" si="22"/>
        <v>5000.0200000000004</v>
      </c>
      <c r="BL31" s="93">
        <f t="shared" si="22"/>
        <v>5000.0200000000004</v>
      </c>
      <c r="BM31" s="93">
        <f t="shared" si="22"/>
        <v>5000.0200000000004</v>
      </c>
      <c r="BN31" s="93">
        <f t="shared" si="22"/>
        <v>5000.0200000000004</v>
      </c>
      <c r="BO31" s="93">
        <f t="shared" si="22"/>
        <v>5000.0200000000004</v>
      </c>
      <c r="BP31" s="93">
        <f t="shared" si="22"/>
        <v>5000.0200000000004</v>
      </c>
      <c r="BQ31" s="93">
        <f t="shared" si="22"/>
        <v>5000.0200000000004</v>
      </c>
      <c r="BR31" s="93">
        <f t="shared" si="22"/>
        <v>5000.0200000000004</v>
      </c>
      <c r="BS31" s="93">
        <f t="shared" si="22"/>
        <v>5000.0200000000004</v>
      </c>
      <c r="BT31" s="93">
        <f t="shared" si="22"/>
        <v>5000.0200000000004</v>
      </c>
      <c r="BU31" s="99">
        <f t="shared" si="22"/>
        <v>5000.0200000000004</v>
      </c>
      <c r="BV31" s="93">
        <f t="shared" si="22"/>
        <v>4999.7800000000007</v>
      </c>
      <c r="BW31" s="93">
        <f t="shared" si="22"/>
        <v>5000.0200000000004</v>
      </c>
      <c r="BX31" s="93">
        <f t="shared" si="22"/>
        <v>5000.0200000000004</v>
      </c>
      <c r="BY31" s="93">
        <f t="shared" si="22"/>
        <v>5000.0200000000004</v>
      </c>
      <c r="BZ31" s="93">
        <f t="shared" si="22"/>
        <v>5000.0200000000004</v>
      </c>
      <c r="CA31" s="93">
        <f t="shared" si="22"/>
        <v>5000.0200000000004</v>
      </c>
      <c r="CB31" s="93">
        <f t="shared" si="22"/>
        <v>5000.0200000000004</v>
      </c>
      <c r="CC31" s="93">
        <f t="shared" si="22"/>
        <v>5000.0200000000004</v>
      </c>
      <c r="CD31" s="93">
        <f t="shared" si="22"/>
        <v>5000.0200000000004</v>
      </c>
      <c r="CE31" s="93">
        <f t="shared" si="22"/>
        <v>5000.0200000000004</v>
      </c>
      <c r="CF31" s="93">
        <f t="shared" si="22"/>
        <v>5000.0200000000004</v>
      </c>
      <c r="CG31" s="93">
        <f t="shared" si="22"/>
        <v>5000.0200000000004</v>
      </c>
      <c r="CH31" s="93">
        <f t="shared" si="22"/>
        <v>59999.78</v>
      </c>
      <c r="CI31" s="93">
        <f t="shared" si="22"/>
        <v>5000.0200000000004</v>
      </c>
      <c r="CJ31" s="93">
        <f t="shared" si="22"/>
        <v>5000.0200000000004</v>
      </c>
      <c r="CK31" s="93">
        <f t="shared" si="22"/>
        <v>5000.0200000000004</v>
      </c>
      <c r="CL31" s="93">
        <f t="shared" si="22"/>
        <v>5000.0200000000004</v>
      </c>
      <c r="CM31" s="93">
        <f t="shared" si="22"/>
        <v>5000.0200000000004</v>
      </c>
      <c r="CN31" s="93">
        <f t="shared" si="22"/>
        <v>5000.0200000000004</v>
      </c>
      <c r="CO31" s="93">
        <f t="shared" si="22"/>
        <v>5000.0200000000004</v>
      </c>
      <c r="CP31" s="93">
        <f t="shared" si="22"/>
        <v>5000.0200000000004</v>
      </c>
      <c r="CQ31" s="93">
        <f t="shared" si="22"/>
        <v>5000.0200000000004</v>
      </c>
      <c r="CR31" s="93">
        <f t="shared" si="22"/>
        <v>5000.0200000000004</v>
      </c>
      <c r="CS31" s="93">
        <f t="shared" si="22"/>
        <v>5000.0200000000004</v>
      </c>
      <c r="CT31" s="96">
        <f t="shared" si="22"/>
        <v>59999.78</v>
      </c>
      <c r="CU31" s="96">
        <f t="shared" si="22"/>
        <v>5000.0200000000004</v>
      </c>
      <c r="CV31" s="96">
        <f t="shared" si="22"/>
        <v>5000.0200000000004</v>
      </c>
      <c r="CW31" s="96">
        <f t="shared" si="22"/>
        <v>5000.0200000000004</v>
      </c>
      <c r="CX31" s="96">
        <f t="shared" ref="CX31:EO31" si="23">SUM(CX27:CX30)</f>
        <v>5000.0200000000004</v>
      </c>
      <c r="CY31" s="96">
        <f t="shared" si="23"/>
        <v>5000.0200000000004</v>
      </c>
      <c r="CZ31" s="93">
        <f t="shared" si="23"/>
        <v>5000.0200000000004</v>
      </c>
      <c r="DA31" s="96">
        <f t="shared" si="23"/>
        <v>5000.0200000000004</v>
      </c>
      <c r="DB31" s="96">
        <f t="shared" si="23"/>
        <v>5000.0200000000004</v>
      </c>
      <c r="DC31" s="96">
        <f t="shared" si="23"/>
        <v>5000.0200000000004</v>
      </c>
      <c r="DD31" s="96">
        <f t="shared" si="23"/>
        <v>5000.0200000000004</v>
      </c>
      <c r="DE31" s="93">
        <f t="shared" si="23"/>
        <v>5000.0200000000004</v>
      </c>
      <c r="DF31" s="96">
        <f t="shared" si="23"/>
        <v>89919.78</v>
      </c>
      <c r="DG31" s="96">
        <f t="shared" si="23"/>
        <v>5000.0200000000004</v>
      </c>
      <c r="DH31" s="96">
        <f t="shared" si="23"/>
        <v>5000.0200000000004</v>
      </c>
      <c r="DI31" s="96">
        <f t="shared" si="23"/>
        <v>5000.0200000000004</v>
      </c>
      <c r="DJ31" s="96">
        <f t="shared" si="23"/>
        <v>5000.0200000000004</v>
      </c>
      <c r="DK31" s="96">
        <f t="shared" si="23"/>
        <v>5000.0200000000004</v>
      </c>
      <c r="DL31" s="93">
        <f t="shared" si="23"/>
        <v>5000.0200000000004</v>
      </c>
      <c r="DM31" s="96">
        <f t="shared" si="23"/>
        <v>5000.0200000000004</v>
      </c>
      <c r="DN31" s="96">
        <f t="shared" si="23"/>
        <v>5000.0200000000004</v>
      </c>
      <c r="DO31" s="96">
        <f t="shared" si="23"/>
        <v>5000.0200000000004</v>
      </c>
      <c r="DP31" s="96">
        <f t="shared" si="23"/>
        <v>5000.0200000000004</v>
      </c>
      <c r="DQ31" s="93">
        <f t="shared" si="23"/>
        <v>5000.0200000000004</v>
      </c>
      <c r="DR31" s="96">
        <f t="shared" si="23"/>
        <v>44062.5</v>
      </c>
      <c r="DS31" s="96">
        <f t="shared" si="23"/>
        <v>4062.5</v>
      </c>
      <c r="DT31" s="96">
        <f t="shared" si="23"/>
        <v>4062.5</v>
      </c>
      <c r="DU31" s="96">
        <f t="shared" si="23"/>
        <v>4062.5</v>
      </c>
      <c r="DV31" s="96">
        <f t="shared" si="23"/>
        <v>4062.5</v>
      </c>
      <c r="DW31" s="96">
        <f t="shared" si="23"/>
        <v>4062.5</v>
      </c>
      <c r="DX31" s="96">
        <f t="shared" si="23"/>
        <v>4062.5</v>
      </c>
      <c r="DY31" s="96">
        <f t="shared" si="23"/>
        <v>4062.5</v>
      </c>
      <c r="DZ31" s="96">
        <f t="shared" si="23"/>
        <v>4062.5</v>
      </c>
      <c r="EA31" s="96">
        <f t="shared" si="23"/>
        <v>4062.5</v>
      </c>
      <c r="EB31" s="96">
        <f t="shared" si="23"/>
        <v>4062.5</v>
      </c>
      <c r="EC31" s="96">
        <f t="shared" si="23"/>
        <v>4062.5</v>
      </c>
      <c r="ED31" s="96">
        <f t="shared" si="23"/>
        <v>55274.39</v>
      </c>
      <c r="EE31" s="96">
        <f t="shared" si="23"/>
        <v>5274.39</v>
      </c>
      <c r="EF31" s="96">
        <f t="shared" si="23"/>
        <v>5274.39</v>
      </c>
      <c r="EG31" s="96">
        <f t="shared" si="23"/>
        <v>5274.39</v>
      </c>
      <c r="EH31" s="96">
        <f t="shared" si="23"/>
        <v>5274.39</v>
      </c>
      <c r="EI31" s="96">
        <f t="shared" si="23"/>
        <v>5274.39</v>
      </c>
      <c r="EJ31" s="96">
        <f t="shared" si="23"/>
        <v>0</v>
      </c>
      <c r="EK31" s="96">
        <f t="shared" si="23"/>
        <v>0</v>
      </c>
      <c r="EL31" s="96">
        <f t="shared" si="23"/>
        <v>0</v>
      </c>
      <c r="EM31" s="96">
        <f t="shared" si="23"/>
        <v>10548.75</v>
      </c>
      <c r="EN31" s="96">
        <f t="shared" si="23"/>
        <v>10548.75</v>
      </c>
      <c r="EO31" s="96">
        <f t="shared" si="23"/>
        <v>10548.75</v>
      </c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</row>
    <row r="32" spans="1:255" x14ac:dyDescent="0.25">
      <c r="A32" s="41"/>
      <c r="AA32" s="59"/>
      <c r="AB32" s="60"/>
      <c r="AC32" s="40" t="s">
        <v>4</v>
      </c>
      <c r="AD32" s="40"/>
      <c r="AE32" s="40"/>
      <c r="AF32" s="40"/>
      <c r="AG32" s="40"/>
      <c r="AH32" s="40" t="s">
        <v>4</v>
      </c>
      <c r="AI32" s="61"/>
      <c r="AJ32" s="41"/>
      <c r="AK32" s="41"/>
      <c r="AZ32" s="41"/>
      <c r="BB32" s="41"/>
      <c r="BC32" s="41"/>
      <c r="BE32" s="41"/>
      <c r="BI32" s="41"/>
      <c r="BT32" s="48"/>
      <c r="BU32" s="47"/>
      <c r="CG32" s="48"/>
      <c r="CH32" s="40"/>
      <c r="CI32" s="40"/>
      <c r="CJ32" s="40"/>
      <c r="CK32" s="40"/>
      <c r="CL32" s="40"/>
      <c r="CM32" s="40"/>
      <c r="CN32" s="40"/>
      <c r="CO32" s="40"/>
      <c r="CP32" s="40"/>
      <c r="CQ32" s="41"/>
      <c r="CR32" s="40"/>
      <c r="CS32" s="41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1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x14ac:dyDescent="0.25">
      <c r="A33" s="41" t="s">
        <v>180</v>
      </c>
      <c r="B33" s="40" t="s">
        <v>9</v>
      </c>
      <c r="C33" s="40" t="s">
        <v>10</v>
      </c>
      <c r="D33" s="49" t="s">
        <v>11</v>
      </c>
      <c r="E33" s="49" t="s">
        <v>12</v>
      </c>
      <c r="F33" s="49" t="s">
        <v>13</v>
      </c>
      <c r="G33" s="49" t="s">
        <v>14</v>
      </c>
      <c r="H33" s="49" t="s">
        <v>15</v>
      </c>
      <c r="I33" s="49" t="s">
        <v>16</v>
      </c>
      <c r="J33" s="49" t="s">
        <v>17</v>
      </c>
      <c r="K33" s="49" t="s">
        <v>18</v>
      </c>
      <c r="L33" s="49" t="s">
        <v>19</v>
      </c>
      <c r="M33" s="49" t="s">
        <v>20</v>
      </c>
      <c r="N33" s="49" t="s">
        <v>21</v>
      </c>
      <c r="O33" s="49" t="s">
        <v>22</v>
      </c>
      <c r="P33" s="49" t="s">
        <v>23</v>
      </c>
      <c r="Q33" s="49" t="s">
        <v>24</v>
      </c>
      <c r="R33" s="49" t="s">
        <v>25</v>
      </c>
      <c r="S33" s="49" t="s">
        <v>26</v>
      </c>
      <c r="T33" s="49" t="s">
        <v>27</v>
      </c>
      <c r="U33" s="49" t="s">
        <v>28</v>
      </c>
      <c r="V33" s="49" t="s">
        <v>29</v>
      </c>
      <c r="W33" s="49" t="s">
        <v>30</v>
      </c>
      <c r="X33" s="49" t="s">
        <v>31</v>
      </c>
      <c r="Y33" s="49" t="s">
        <v>32</v>
      </c>
      <c r="Z33" s="49" t="s">
        <v>33</v>
      </c>
      <c r="AA33" s="50"/>
      <c r="AB33" s="51"/>
      <c r="AC33" s="40" t="s">
        <v>4</v>
      </c>
      <c r="AD33" s="68" t="s">
        <v>181</v>
      </c>
      <c r="AE33" s="68" t="s">
        <v>171</v>
      </c>
      <c r="AF33" s="68" t="s">
        <v>36</v>
      </c>
      <c r="AG33" s="68" t="s">
        <v>37</v>
      </c>
      <c r="AH33" s="49" t="s">
        <v>4</v>
      </c>
      <c r="AI33" s="69" t="s">
        <v>38</v>
      </c>
      <c r="AJ33" s="70" t="s">
        <v>39</v>
      </c>
      <c r="AK33" s="70"/>
      <c r="AL33" s="49" t="s">
        <v>40</v>
      </c>
      <c r="AM33" s="49" t="s">
        <v>41</v>
      </c>
      <c r="AN33" s="49" t="s">
        <v>42</v>
      </c>
      <c r="AO33" s="49" t="s">
        <v>43</v>
      </c>
      <c r="AP33" s="49" t="s">
        <v>44</v>
      </c>
      <c r="AQ33" s="49" t="s">
        <v>45</v>
      </c>
      <c r="AR33" s="49" t="s">
        <v>46</v>
      </c>
      <c r="AS33" s="49" t="s">
        <v>47</v>
      </c>
      <c r="AT33" s="49" t="s">
        <v>48</v>
      </c>
      <c r="AU33" s="49" t="s">
        <v>49</v>
      </c>
      <c r="AV33" s="49" t="s">
        <v>50</v>
      </c>
      <c r="AW33" s="40" t="s">
        <v>51</v>
      </c>
      <c r="AX33" s="53" t="s">
        <v>52</v>
      </c>
      <c r="AY33" s="53" t="s">
        <v>53</v>
      </c>
      <c r="AZ33" s="53" t="s">
        <v>54</v>
      </c>
      <c r="BA33" s="53" t="s">
        <v>55</v>
      </c>
      <c r="BB33" s="49" t="s">
        <v>56</v>
      </c>
      <c r="BC33" s="53" t="s">
        <v>57</v>
      </c>
      <c r="BD33" s="53" t="s">
        <v>58</v>
      </c>
      <c r="BE33" s="53" t="s">
        <v>59</v>
      </c>
      <c r="BF33" s="53" t="s">
        <v>60</v>
      </c>
      <c r="BG33" s="53" t="s">
        <v>61</v>
      </c>
      <c r="BH33" s="53" t="s">
        <v>62</v>
      </c>
      <c r="BI33" s="47" t="s">
        <v>63</v>
      </c>
      <c r="BJ33" s="53" t="s">
        <v>64</v>
      </c>
      <c r="BK33" s="53" t="s">
        <v>65</v>
      </c>
      <c r="BL33" s="53" t="s">
        <v>66</v>
      </c>
      <c r="BM33" s="53" t="s">
        <v>67</v>
      </c>
      <c r="BN33" s="49" t="s">
        <v>68</v>
      </c>
      <c r="BO33" s="53" t="s">
        <v>69</v>
      </c>
      <c r="BP33" s="53" t="s">
        <v>70</v>
      </c>
      <c r="BQ33" s="53" t="s">
        <v>71</v>
      </c>
      <c r="BR33" s="53" t="s">
        <v>72</v>
      </c>
      <c r="BS33" s="53" t="s">
        <v>73</v>
      </c>
      <c r="BT33" s="53" t="s">
        <v>74</v>
      </c>
      <c r="BU33" s="47" t="s">
        <v>75</v>
      </c>
      <c r="BV33" s="53" t="s">
        <v>76</v>
      </c>
      <c r="BW33" s="53" t="s">
        <v>77</v>
      </c>
      <c r="BX33" s="53" t="s">
        <v>78</v>
      </c>
      <c r="BY33" s="53" t="s">
        <v>79</v>
      </c>
      <c r="BZ33" s="49" t="s">
        <v>80</v>
      </c>
      <c r="CA33" s="53" t="s">
        <v>81</v>
      </c>
      <c r="CB33" s="53" t="s">
        <v>82</v>
      </c>
      <c r="CC33" s="53" t="s">
        <v>83</v>
      </c>
      <c r="CD33" s="53" t="s">
        <v>84</v>
      </c>
      <c r="CE33" s="53" t="s">
        <v>85</v>
      </c>
      <c r="CF33" s="53" t="s">
        <v>86</v>
      </c>
      <c r="CG33" s="48" t="s">
        <v>87</v>
      </c>
      <c r="CH33" s="53" t="s">
        <v>88</v>
      </c>
      <c r="CI33" s="53" t="s">
        <v>89</v>
      </c>
      <c r="CJ33" s="53" t="s">
        <v>90</v>
      </c>
      <c r="CK33" s="53" t="s">
        <v>91</v>
      </c>
      <c r="CL33" s="49" t="s">
        <v>92</v>
      </c>
      <c r="CM33" s="53" t="s">
        <v>93</v>
      </c>
      <c r="CN33" s="53" t="s">
        <v>94</v>
      </c>
      <c r="CO33" s="53" t="s">
        <v>95</v>
      </c>
      <c r="CP33" s="53" t="s">
        <v>96</v>
      </c>
      <c r="CQ33" s="53" t="s">
        <v>97</v>
      </c>
      <c r="CR33" s="53" t="s">
        <v>98</v>
      </c>
      <c r="CS33" s="41" t="s">
        <v>99</v>
      </c>
      <c r="CT33" s="49" t="s">
        <v>100</v>
      </c>
      <c r="CU33" s="49" t="s">
        <v>101</v>
      </c>
      <c r="CV33" s="49" t="s">
        <v>102</v>
      </c>
      <c r="CW33" s="49" t="s">
        <v>103</v>
      </c>
      <c r="CX33" s="49" t="s">
        <v>104</v>
      </c>
      <c r="CY33" s="49" t="s">
        <v>105</v>
      </c>
      <c r="CZ33" s="49" t="s">
        <v>106</v>
      </c>
      <c r="DA33" s="49" t="s">
        <v>107</v>
      </c>
      <c r="DB33" s="49" t="s">
        <v>108</v>
      </c>
      <c r="DC33" s="49" t="s">
        <v>109</v>
      </c>
      <c r="DD33" s="49" t="s">
        <v>110</v>
      </c>
      <c r="DE33" s="49" t="s">
        <v>111</v>
      </c>
      <c r="DF33" s="49" t="s">
        <v>112</v>
      </c>
      <c r="DG33" s="49" t="s">
        <v>113</v>
      </c>
      <c r="DH33" s="49" t="s">
        <v>114</v>
      </c>
      <c r="DI33" s="49" t="s">
        <v>115</v>
      </c>
      <c r="DJ33" s="49" t="s">
        <v>116</v>
      </c>
      <c r="DK33" s="49" t="s">
        <v>117</v>
      </c>
      <c r="DL33" s="49" t="s">
        <v>118</v>
      </c>
      <c r="DM33" s="49" t="s">
        <v>119</v>
      </c>
      <c r="DN33" s="49" t="s">
        <v>120</v>
      </c>
      <c r="DO33" s="49" t="s">
        <v>121</v>
      </c>
      <c r="DP33" s="49" t="s">
        <v>122</v>
      </c>
      <c r="DQ33" s="49" t="s">
        <v>123</v>
      </c>
      <c r="DR33" s="49" t="s">
        <v>124</v>
      </c>
      <c r="DS33" s="49" t="s">
        <v>125</v>
      </c>
      <c r="DT33" s="49" t="s">
        <v>126</v>
      </c>
      <c r="DU33" s="49" t="s">
        <v>127</v>
      </c>
      <c r="DV33" s="49" t="s">
        <v>128</v>
      </c>
      <c r="DW33" s="49" t="s">
        <v>129</v>
      </c>
      <c r="DX33" s="49" t="s">
        <v>130</v>
      </c>
      <c r="DY33" s="49" t="s">
        <v>131</v>
      </c>
      <c r="DZ33" s="49" t="s">
        <v>132</v>
      </c>
      <c r="EA33" s="49" t="s">
        <v>133</v>
      </c>
      <c r="EB33" s="49" t="s">
        <v>134</v>
      </c>
      <c r="EC33" s="49" t="s">
        <v>135</v>
      </c>
      <c r="ED33" s="49" t="s">
        <v>136</v>
      </c>
      <c r="EE33" s="49" t="s">
        <v>137</v>
      </c>
      <c r="EF33" s="49" t="s">
        <v>138</v>
      </c>
      <c r="EG33" s="49" t="s">
        <v>139</v>
      </c>
      <c r="EH33" s="49" t="s">
        <v>140</v>
      </c>
      <c r="EI33" s="49" t="s">
        <v>141</v>
      </c>
      <c r="EJ33" s="49" t="s">
        <v>142</v>
      </c>
      <c r="EK33" s="49" t="s">
        <v>143</v>
      </c>
      <c r="EL33" s="49" t="s">
        <v>144</v>
      </c>
      <c r="EM33" s="49" t="s">
        <v>145</v>
      </c>
      <c r="EN33" s="49" t="s">
        <v>146</v>
      </c>
      <c r="EO33" s="53" t="s">
        <v>147</v>
      </c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x14ac:dyDescent="0.25">
      <c r="A34" s="41"/>
      <c r="B34" s="49" t="s">
        <v>182</v>
      </c>
      <c r="C34" s="49" t="s">
        <v>182</v>
      </c>
      <c r="D34" s="49" t="s">
        <v>182</v>
      </c>
      <c r="E34" s="49" t="s">
        <v>182</v>
      </c>
      <c r="F34" s="49" t="s">
        <v>182</v>
      </c>
      <c r="G34" s="49" t="s">
        <v>182</v>
      </c>
      <c r="H34" s="49" t="s">
        <v>182</v>
      </c>
      <c r="I34" s="49" t="s">
        <v>182</v>
      </c>
      <c r="J34" s="49" t="s">
        <v>182</v>
      </c>
      <c r="K34" s="49" t="s">
        <v>182</v>
      </c>
      <c r="L34" s="49" t="s">
        <v>182</v>
      </c>
      <c r="M34" s="49" t="s">
        <v>182</v>
      </c>
      <c r="N34" s="49" t="s">
        <v>182</v>
      </c>
      <c r="O34" s="49" t="s">
        <v>182</v>
      </c>
      <c r="P34" s="49" t="s">
        <v>182</v>
      </c>
      <c r="Q34" s="49" t="s">
        <v>182</v>
      </c>
      <c r="R34" s="49" t="s">
        <v>182</v>
      </c>
      <c r="S34" s="49" t="s">
        <v>182</v>
      </c>
      <c r="T34" s="49" t="s">
        <v>182</v>
      </c>
      <c r="U34" s="49" t="s">
        <v>182</v>
      </c>
      <c r="V34" s="49" t="s">
        <v>182</v>
      </c>
      <c r="W34" s="49" t="s">
        <v>182</v>
      </c>
      <c r="X34" s="49" t="s">
        <v>182</v>
      </c>
      <c r="Y34" s="49" t="s">
        <v>182</v>
      </c>
      <c r="Z34" s="49" t="s">
        <v>150</v>
      </c>
      <c r="AA34" s="50"/>
      <c r="AB34" s="51"/>
      <c r="AC34" s="40" t="s">
        <v>4</v>
      </c>
      <c r="AD34" s="49" t="str">
        <f>+A111</f>
        <v>THRU 01/31/2021</v>
      </c>
      <c r="AE34" s="68" t="s">
        <v>151</v>
      </c>
      <c r="AF34" s="68" t="s">
        <v>152</v>
      </c>
      <c r="AG34" s="68" t="s">
        <v>153</v>
      </c>
      <c r="AH34" s="49" t="s">
        <v>4</v>
      </c>
      <c r="AI34" s="69" t="s">
        <v>154</v>
      </c>
      <c r="AJ34" s="70" t="s">
        <v>155</v>
      </c>
      <c r="AK34" s="70"/>
      <c r="AL34" s="49" t="s">
        <v>182</v>
      </c>
      <c r="AM34" s="49" t="s">
        <v>182</v>
      </c>
      <c r="AN34" s="49" t="s">
        <v>182</v>
      </c>
      <c r="AO34" s="49" t="s">
        <v>182</v>
      </c>
      <c r="AP34" s="49" t="s">
        <v>182</v>
      </c>
      <c r="AQ34" s="49" t="s">
        <v>182</v>
      </c>
      <c r="AR34" s="49" t="s">
        <v>182</v>
      </c>
      <c r="AS34" s="49" t="s">
        <v>182</v>
      </c>
      <c r="AT34" s="49" t="s">
        <v>182</v>
      </c>
      <c r="AU34" s="49" t="s">
        <v>182</v>
      </c>
      <c r="AV34" s="49" t="s">
        <v>182</v>
      </c>
      <c r="AW34" s="49" t="s">
        <v>182</v>
      </c>
      <c r="AX34" s="49" t="s">
        <v>182</v>
      </c>
      <c r="AY34" s="49" t="s">
        <v>182</v>
      </c>
      <c r="AZ34" s="49" t="s">
        <v>182</v>
      </c>
      <c r="BA34" s="49" t="s">
        <v>182</v>
      </c>
      <c r="BB34" s="49" t="s">
        <v>182</v>
      </c>
      <c r="BC34" s="49" t="s">
        <v>182</v>
      </c>
      <c r="BD34" s="49" t="s">
        <v>182</v>
      </c>
      <c r="BE34" s="49" t="s">
        <v>182</v>
      </c>
      <c r="BF34" s="49" t="s">
        <v>182</v>
      </c>
      <c r="BG34" s="49" t="s">
        <v>182</v>
      </c>
      <c r="BH34" s="49" t="s">
        <v>182</v>
      </c>
      <c r="BI34" s="71" t="s">
        <v>182</v>
      </c>
      <c r="BJ34" s="49" t="s">
        <v>182</v>
      </c>
      <c r="BK34" s="49" t="s">
        <v>182</v>
      </c>
      <c r="BL34" s="49" t="s">
        <v>182</v>
      </c>
      <c r="BM34" s="49" t="s">
        <v>182</v>
      </c>
      <c r="BN34" s="49" t="s">
        <v>182</v>
      </c>
      <c r="BO34" s="49" t="s">
        <v>182</v>
      </c>
      <c r="BP34" s="49" t="s">
        <v>182</v>
      </c>
      <c r="BQ34" s="49" t="s">
        <v>182</v>
      </c>
      <c r="BR34" s="49" t="s">
        <v>182</v>
      </c>
      <c r="BS34" s="49" t="s">
        <v>182</v>
      </c>
      <c r="BT34" s="49" t="s">
        <v>182</v>
      </c>
      <c r="BU34" s="71" t="s">
        <v>182</v>
      </c>
      <c r="BV34" s="49" t="s">
        <v>182</v>
      </c>
      <c r="BW34" s="49" t="s">
        <v>182</v>
      </c>
      <c r="BX34" s="49" t="s">
        <v>182</v>
      </c>
      <c r="BY34" s="49" t="s">
        <v>182</v>
      </c>
      <c r="BZ34" s="49" t="s">
        <v>182</v>
      </c>
      <c r="CA34" s="49" t="s">
        <v>182</v>
      </c>
      <c r="CB34" s="49" t="s">
        <v>182</v>
      </c>
      <c r="CC34" s="49" t="s">
        <v>182</v>
      </c>
      <c r="CD34" s="49" t="s">
        <v>182</v>
      </c>
      <c r="CE34" s="49" t="s">
        <v>182</v>
      </c>
      <c r="CF34" s="49" t="s">
        <v>182</v>
      </c>
      <c r="CG34" s="72" t="s">
        <v>182</v>
      </c>
      <c r="CH34" s="49" t="s">
        <v>182</v>
      </c>
      <c r="CI34" s="49" t="s">
        <v>182</v>
      </c>
      <c r="CJ34" s="49" t="s">
        <v>182</v>
      </c>
      <c r="CK34" s="49" t="s">
        <v>182</v>
      </c>
      <c r="CL34" s="49" t="s">
        <v>182</v>
      </c>
      <c r="CM34" s="49" t="s">
        <v>182</v>
      </c>
      <c r="CN34" s="49" t="s">
        <v>182</v>
      </c>
      <c r="CO34" s="49" t="s">
        <v>182</v>
      </c>
      <c r="CP34" s="49" t="s">
        <v>182</v>
      </c>
      <c r="CQ34" s="49" t="s">
        <v>182</v>
      </c>
      <c r="CR34" s="49" t="s">
        <v>182</v>
      </c>
      <c r="CS34" s="49" t="s">
        <v>182</v>
      </c>
      <c r="CT34" s="49" t="s">
        <v>182</v>
      </c>
      <c r="CU34" s="49" t="s">
        <v>182</v>
      </c>
      <c r="CV34" s="49" t="s">
        <v>182</v>
      </c>
      <c r="CW34" s="49" t="s">
        <v>182</v>
      </c>
      <c r="CX34" s="49" t="s">
        <v>182</v>
      </c>
      <c r="CY34" s="49" t="s">
        <v>182</v>
      </c>
      <c r="CZ34" s="49" t="s">
        <v>182</v>
      </c>
      <c r="DA34" s="49" t="s">
        <v>182</v>
      </c>
      <c r="DB34" s="49" t="s">
        <v>182</v>
      </c>
      <c r="DC34" s="49" t="s">
        <v>182</v>
      </c>
      <c r="DD34" s="49" t="s">
        <v>182</v>
      </c>
      <c r="DE34" s="49" t="s">
        <v>182</v>
      </c>
      <c r="DF34" s="49" t="s">
        <v>182</v>
      </c>
      <c r="DG34" s="49" t="s">
        <v>182</v>
      </c>
      <c r="DH34" s="49" t="s">
        <v>182</v>
      </c>
      <c r="DI34" s="49" t="s">
        <v>182</v>
      </c>
      <c r="DJ34" s="49" t="s">
        <v>182</v>
      </c>
      <c r="DK34" s="49" t="s">
        <v>182</v>
      </c>
      <c r="DL34" s="49" t="s">
        <v>182</v>
      </c>
      <c r="DM34" s="49" t="s">
        <v>182</v>
      </c>
      <c r="DN34" s="49" t="s">
        <v>182</v>
      </c>
      <c r="DO34" s="49" t="s">
        <v>182</v>
      </c>
      <c r="DP34" s="49" t="s">
        <v>182</v>
      </c>
      <c r="DQ34" s="49" t="s">
        <v>182</v>
      </c>
      <c r="DR34" s="49" t="s">
        <v>182</v>
      </c>
      <c r="DS34" s="49" t="s">
        <v>182</v>
      </c>
      <c r="DT34" s="49" t="s">
        <v>182</v>
      </c>
      <c r="DU34" s="49" t="s">
        <v>182</v>
      </c>
      <c r="DV34" s="49" t="s">
        <v>182</v>
      </c>
      <c r="DW34" s="49" t="s">
        <v>182</v>
      </c>
      <c r="DX34" s="49" t="s">
        <v>182</v>
      </c>
      <c r="DY34" s="49" t="s">
        <v>182</v>
      </c>
      <c r="DZ34" s="49" t="s">
        <v>182</v>
      </c>
      <c r="EA34" s="49" t="s">
        <v>182</v>
      </c>
      <c r="EB34" s="49" t="s">
        <v>182</v>
      </c>
      <c r="EC34" s="49" t="s">
        <v>182</v>
      </c>
      <c r="ED34" s="49" t="s">
        <v>182</v>
      </c>
      <c r="EE34" s="49" t="s">
        <v>182</v>
      </c>
      <c r="EF34" s="49" t="s">
        <v>182</v>
      </c>
      <c r="EG34" s="49" t="s">
        <v>182</v>
      </c>
      <c r="EH34" s="49" t="s">
        <v>182</v>
      </c>
      <c r="EI34" s="49" t="s">
        <v>182</v>
      </c>
      <c r="EJ34" s="49" t="s">
        <v>182</v>
      </c>
      <c r="EK34" s="49" t="s">
        <v>182</v>
      </c>
      <c r="EL34" s="49" t="s">
        <v>182</v>
      </c>
      <c r="EM34" s="49" t="s">
        <v>182</v>
      </c>
      <c r="EN34" s="49" t="s">
        <v>182</v>
      </c>
      <c r="EO34" s="49" t="s">
        <v>182</v>
      </c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x14ac:dyDescent="0.25">
      <c r="A35" s="41" t="s">
        <v>183</v>
      </c>
      <c r="AA35" s="59"/>
      <c r="AB35" s="60"/>
      <c r="AC35" s="40" t="s">
        <v>4</v>
      </c>
      <c r="AD35" s="40" t="s">
        <v>157</v>
      </c>
      <c r="AE35" s="40"/>
      <c r="AF35" s="40"/>
      <c r="AG35" s="40"/>
      <c r="AH35" s="40" t="s">
        <v>4</v>
      </c>
      <c r="AI35" s="61"/>
      <c r="AJ35" s="41"/>
      <c r="AK35" s="41"/>
      <c r="AZ35" s="41"/>
      <c r="BB35" s="41"/>
      <c r="BC35" s="41"/>
      <c r="BE35" s="41"/>
      <c r="BI35" s="41"/>
      <c r="BT35" s="48"/>
      <c r="BU35" s="47"/>
      <c r="CG35" s="48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1"/>
      <c r="CS35" s="41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1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1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x14ac:dyDescent="0.25">
      <c r="A36" s="41" t="s">
        <v>184</v>
      </c>
      <c r="B36" s="40">
        <v>0</v>
      </c>
      <c r="C36" s="40">
        <v>0</v>
      </c>
      <c r="D36" s="40">
        <v>205.53</v>
      </c>
      <c r="E36" s="40">
        <v>1111.08</v>
      </c>
      <c r="F36" s="40">
        <v>0</v>
      </c>
      <c r="G36" s="40">
        <v>92.8</v>
      </c>
      <c r="H36" s="40">
        <v>0</v>
      </c>
      <c r="I36" s="40">
        <f>2429.97+208.8</f>
        <v>2638.77</v>
      </c>
      <c r="J36" s="40">
        <v>445.05</v>
      </c>
      <c r="K36" s="40">
        <v>0</v>
      </c>
      <c r="L36" s="40">
        <v>0</v>
      </c>
      <c r="M36" s="40">
        <v>669.9</v>
      </c>
      <c r="N36" s="40">
        <v>493.88</v>
      </c>
      <c r="O36" s="40">
        <v>134.75</v>
      </c>
      <c r="P36" s="40">
        <v>185.15</v>
      </c>
      <c r="Q36" s="40">
        <v>1113.8499999999999</v>
      </c>
      <c r="R36" s="40">
        <v>0</v>
      </c>
      <c r="S36" s="40">
        <v>32.46</v>
      </c>
      <c r="T36" s="40">
        <v>61.2</v>
      </c>
      <c r="U36" s="40">
        <f>713.62+191.4</f>
        <v>905.02</v>
      </c>
      <c r="V36" s="40">
        <v>0</v>
      </c>
      <c r="W36" s="40">
        <v>0</v>
      </c>
      <c r="X36" s="40">
        <v>0</v>
      </c>
      <c r="Y36" s="40">
        <v>0</v>
      </c>
      <c r="Z36" s="40">
        <f>X36-Y36</f>
        <v>0</v>
      </c>
      <c r="AA36" s="59">
        <v>5000</v>
      </c>
      <c r="AB36" s="60">
        <v>7500</v>
      </c>
      <c r="AC36" s="40" t="s">
        <v>4</v>
      </c>
      <c r="AD36" s="40">
        <f>B36+D36+F36+H36+J36+L36+N36+P36+R36+T36+V36+X36</f>
        <v>1390.8100000000002</v>
      </c>
      <c r="AE36" s="40">
        <f>+AI36/12*A108</f>
        <v>7500</v>
      </c>
      <c r="AF36" s="40">
        <f t="shared" ref="AF36:AF43" si="24">+AD36-AE36</f>
        <v>-6109.19</v>
      </c>
      <c r="AG36" s="40">
        <f t="shared" ref="AG36:AG48" si="25">+C36+E36+G36+I36+K36+M36+O36+Q36+S36+U36+W36+Y36</f>
        <v>6698.6299999999992</v>
      </c>
      <c r="AH36" s="40" t="s">
        <v>4</v>
      </c>
      <c r="AI36" s="61">
        <v>7500</v>
      </c>
      <c r="AJ36" s="62">
        <f t="shared" ref="AJ36:AJ41" si="26">+AD36/AI36</f>
        <v>0.18544133333333335</v>
      </c>
      <c r="AK36" s="62"/>
      <c r="AL36" s="40">
        <v>1173.44</v>
      </c>
      <c r="AM36" s="40">
        <f>85.6+165.81</f>
        <v>251.41</v>
      </c>
      <c r="AN36" s="40">
        <v>586.41999999999996</v>
      </c>
      <c r="AO36" s="40">
        <v>21.95</v>
      </c>
      <c r="AP36" s="40">
        <v>1878.95</v>
      </c>
      <c r="AQ36" s="40">
        <v>100</v>
      </c>
      <c r="AR36" s="40">
        <v>0</v>
      </c>
      <c r="AS36" s="40">
        <v>0</v>
      </c>
      <c r="AT36" s="40">
        <v>0</v>
      </c>
      <c r="AU36" s="40">
        <v>50.89</v>
      </c>
      <c r="AV36" s="40">
        <v>995.75</v>
      </c>
      <c r="AW36" s="40">
        <v>482.15</v>
      </c>
      <c r="AX36" s="40">
        <f>150+4.27</f>
        <v>154.27000000000001</v>
      </c>
      <c r="AY36" s="40">
        <f>256.5+555.45</f>
        <v>811.95</v>
      </c>
      <c r="AZ36" s="40">
        <v>246.34</v>
      </c>
      <c r="BA36" s="40">
        <v>100</v>
      </c>
      <c r="BB36" s="40">
        <v>1643.03</v>
      </c>
      <c r="BC36" s="40">
        <v>332.4</v>
      </c>
      <c r="BD36" s="40">
        <v>870.39</v>
      </c>
      <c r="BE36" s="40">
        <v>0</v>
      </c>
      <c r="BF36" s="40">
        <v>0</v>
      </c>
      <c r="BG36" s="40">
        <f>77.58-125.43</f>
        <v>-47.850000000000009</v>
      </c>
      <c r="BH36" s="40">
        <f>2.68+1029.49</f>
        <v>1032.17</v>
      </c>
      <c r="BI36" s="40">
        <f>174.57+203.3</f>
        <v>377.87</v>
      </c>
      <c r="BJ36" s="40">
        <v>281.41000000000003</v>
      </c>
      <c r="BK36" s="40">
        <v>574.94000000000005</v>
      </c>
      <c r="BL36" s="40">
        <f>5.17+327.24</f>
        <v>332.41</v>
      </c>
      <c r="BM36" s="48">
        <v>26.35</v>
      </c>
      <c r="BN36" s="48">
        <v>1580.36</v>
      </c>
      <c r="BO36" s="40">
        <f>482.76+81.16-26.75</f>
        <v>537.16999999999996</v>
      </c>
      <c r="BP36" s="40">
        <f>1212.2+320.59+701.92</f>
        <v>2234.71</v>
      </c>
      <c r="BQ36" s="48">
        <v>138.22999999999999</v>
      </c>
      <c r="BR36" s="40">
        <v>183.49</v>
      </c>
      <c r="BS36" s="48">
        <f>502.2+26.38</f>
        <v>528.58000000000004</v>
      </c>
      <c r="BT36" s="48">
        <f>13.17+899.3</f>
        <v>912.46999999999991</v>
      </c>
      <c r="BU36" s="47">
        <f>221.4+45.88</f>
        <v>267.28000000000003</v>
      </c>
      <c r="BV36" s="40">
        <v>-84</v>
      </c>
      <c r="BW36" s="40">
        <v>442.61</v>
      </c>
      <c r="BX36" s="40">
        <v>0</v>
      </c>
      <c r="BY36" s="40">
        <v>0</v>
      </c>
      <c r="BZ36" s="48">
        <f>3933.28+1417.76</f>
        <v>5351.04</v>
      </c>
      <c r="CA36" s="48">
        <f>373.18+235.75</f>
        <v>608.93000000000006</v>
      </c>
      <c r="CB36" s="40">
        <v>0</v>
      </c>
      <c r="CC36" s="40">
        <v>1037.4000000000001</v>
      </c>
      <c r="CD36" s="48">
        <v>61.2</v>
      </c>
      <c r="CE36" s="40">
        <f>88.2+96.24</f>
        <v>184.44</v>
      </c>
      <c r="CF36" s="48">
        <f>800.26+523.5</f>
        <v>1323.76</v>
      </c>
      <c r="CG36" s="48">
        <f>742.73+235.75</f>
        <v>978.48</v>
      </c>
      <c r="CH36" s="40">
        <v>0</v>
      </c>
      <c r="CI36" s="40">
        <f>1776.25+406.52</f>
        <v>2182.77</v>
      </c>
      <c r="CJ36" s="40">
        <v>620.57000000000005</v>
      </c>
      <c r="CK36" s="47">
        <f>22.48+3553.55</f>
        <v>3576.03</v>
      </c>
      <c r="CL36" s="40">
        <f>466.54+2104.12</f>
        <v>2570.66</v>
      </c>
      <c r="CM36" s="40">
        <f>529.21+329.6</f>
        <v>858.81000000000006</v>
      </c>
      <c r="CN36" s="40">
        <v>227</v>
      </c>
      <c r="CO36" s="40">
        <v>496.72</v>
      </c>
      <c r="CP36" s="40">
        <v>0</v>
      </c>
      <c r="CQ36" s="40">
        <v>213.82</v>
      </c>
      <c r="CR36" s="40">
        <f>471.61+829.69</f>
        <v>1301.3000000000002</v>
      </c>
      <c r="CS36" s="48">
        <f>50+212.8</f>
        <v>262.8</v>
      </c>
      <c r="CT36" s="40">
        <f>200-200</f>
        <v>0</v>
      </c>
      <c r="CU36" s="40">
        <f>212.74+507.16+305.1</f>
        <v>1025</v>
      </c>
      <c r="CV36" s="40">
        <f>901.15+5.52+313.02</f>
        <v>1219.69</v>
      </c>
      <c r="CW36" s="40">
        <f>107.3+658.3+3.99</f>
        <v>769.58999999999992</v>
      </c>
      <c r="CX36" s="47">
        <f>423.79+829.3+126.71</f>
        <v>1379.8</v>
      </c>
      <c r="CY36" s="40">
        <f>492.97+214.7+812.53+246.37</f>
        <v>1766.5700000000002</v>
      </c>
      <c r="CZ36" s="40">
        <f>489.41+634.67+71.26</f>
        <v>1195.3399999999999</v>
      </c>
      <c r="DA36" s="40">
        <f>640.8-267.4</f>
        <v>373.4</v>
      </c>
      <c r="DB36" s="40">
        <v>161.41</v>
      </c>
      <c r="DC36" s="40">
        <f>7902.8+262.55-1750</f>
        <v>6415.35</v>
      </c>
      <c r="DD36" s="40">
        <f>923.09-708.85+802.08</f>
        <v>1016.32</v>
      </c>
      <c r="DE36" s="40">
        <f>50+214.7+708.85</f>
        <v>973.55</v>
      </c>
      <c r="DF36" s="40">
        <v>2195.02</v>
      </c>
      <c r="DG36" s="40">
        <v>581.26</v>
      </c>
      <c r="DH36" s="40">
        <v>600</v>
      </c>
      <c r="DI36" s="40">
        <f>77.8-525</f>
        <v>-447.2</v>
      </c>
      <c r="DJ36" s="40">
        <v>1402.35</v>
      </c>
      <c r="DK36" s="40">
        <v>421.9</v>
      </c>
      <c r="DL36" s="40">
        <v>0</v>
      </c>
      <c r="DM36" s="40">
        <f>108+525</f>
        <v>633</v>
      </c>
      <c r="DN36" s="40">
        <v>533.70000000000005</v>
      </c>
      <c r="DO36" s="40">
        <f>271.96+46.87</f>
        <v>318.83</v>
      </c>
      <c r="DP36" s="40">
        <f>150+734.71</f>
        <v>884.71</v>
      </c>
      <c r="DQ36" s="40">
        <f>99.9</f>
        <v>99.9</v>
      </c>
      <c r="DR36" s="40">
        <v>0</v>
      </c>
      <c r="DS36" s="40">
        <v>419.56</v>
      </c>
      <c r="DT36" s="40">
        <v>0</v>
      </c>
      <c r="DU36" s="40">
        <f>125+50+650</f>
        <v>825</v>
      </c>
      <c r="DV36" s="40">
        <v>1466.23</v>
      </c>
      <c r="DW36" s="40">
        <v>99.9</v>
      </c>
      <c r="DX36" s="40">
        <f>562.36-63.58</f>
        <v>498.78000000000003</v>
      </c>
      <c r="DY36" s="40">
        <v>928.14</v>
      </c>
      <c r="DZ36" s="40">
        <v>0</v>
      </c>
      <c r="EA36" s="40">
        <f>135.79-102</f>
        <v>33.789999999999992</v>
      </c>
      <c r="EB36" s="40">
        <f>746.29+362.1</f>
        <v>1108.3899999999999</v>
      </c>
      <c r="EC36" s="40">
        <f>79.18+45.53</f>
        <v>124.71000000000001</v>
      </c>
      <c r="ED36" s="40">
        <v>643.27</v>
      </c>
      <c r="EE36" s="40">
        <v>684.54</v>
      </c>
      <c r="EF36" s="40">
        <v>876.58</v>
      </c>
      <c r="EG36" s="40">
        <v>73.5</v>
      </c>
      <c r="EH36" s="40">
        <v>710.83</v>
      </c>
      <c r="EI36" s="40">
        <v>-11</v>
      </c>
      <c r="EJ36" s="40">
        <v>0</v>
      </c>
      <c r="EK36" s="40">
        <v>0</v>
      </c>
      <c r="EL36" s="40">
        <v>58.85</v>
      </c>
      <c r="EM36" s="40">
        <v>134.04</v>
      </c>
      <c r="EN36" s="40">
        <v>1317.47</v>
      </c>
      <c r="EO36" s="40">
        <v>80.87</v>
      </c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hidden="1" x14ac:dyDescent="0.25">
      <c r="A37" s="41" t="s">
        <v>185</v>
      </c>
      <c r="Z37" s="40">
        <f t="shared" ref="Z37:Z48" si="27">X37-Y37</f>
        <v>0</v>
      </c>
      <c r="AA37" s="59"/>
      <c r="AB37" s="60"/>
      <c r="AC37" s="40" t="s">
        <v>4</v>
      </c>
      <c r="AD37" s="40">
        <f t="shared" ref="AD37:AD48" si="28">+B37+D37+F37+H37+J37+L37+N37+P37+R37+T37+V37+X37</f>
        <v>0</v>
      </c>
      <c r="AE37" s="40">
        <f>+AI37/12*A108</f>
        <v>0</v>
      </c>
      <c r="AF37" s="40">
        <f t="shared" si="24"/>
        <v>0</v>
      </c>
      <c r="AG37" s="40">
        <f t="shared" si="25"/>
        <v>0</v>
      </c>
      <c r="AH37" s="40" t="s">
        <v>4</v>
      </c>
      <c r="AI37" s="61">
        <v>0</v>
      </c>
      <c r="AJ37" s="62" t="s">
        <v>157</v>
      </c>
      <c r="AK37" s="62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K37" s="40"/>
      <c r="BL37" s="40"/>
      <c r="BN37" s="48"/>
      <c r="BS37" s="48"/>
      <c r="BT37" s="48"/>
      <c r="BU37" s="47"/>
      <c r="BV37" s="40">
        <v>0</v>
      </c>
      <c r="BX37" s="40">
        <v>0</v>
      </c>
      <c r="BY37" s="40">
        <v>0</v>
      </c>
      <c r="CA37" s="48">
        <v>0</v>
      </c>
      <c r="CF37" s="48"/>
      <c r="CG37" s="48"/>
      <c r="CH37" s="40"/>
      <c r="CI37" s="40"/>
      <c r="CJ37" s="40">
        <v>0</v>
      </c>
      <c r="CK37" s="47"/>
      <c r="CL37" s="40"/>
      <c r="CM37" s="40"/>
      <c r="CN37" s="40"/>
      <c r="CO37" s="40"/>
      <c r="CP37" s="40"/>
      <c r="CQ37" s="40"/>
      <c r="CR37" s="40"/>
      <c r="CS37" s="48"/>
      <c r="CT37" s="40"/>
      <c r="CU37" s="40"/>
      <c r="CV37" s="40"/>
      <c r="CW37" s="40"/>
      <c r="CX37" s="47"/>
      <c r="CY37" s="40"/>
      <c r="CZ37" s="40"/>
      <c r="DA37" s="40"/>
      <c r="DB37" s="40"/>
      <c r="DC37" s="40"/>
      <c r="DD37" s="40"/>
      <c r="DE37" s="40">
        <v>0</v>
      </c>
      <c r="DF37" s="40">
        <v>0</v>
      </c>
      <c r="DG37" s="40">
        <v>97.13</v>
      </c>
      <c r="DH37" s="40">
        <v>671</v>
      </c>
      <c r="DI37" s="40">
        <v>1043.42</v>
      </c>
      <c r="DJ37" s="40">
        <v>0</v>
      </c>
      <c r="DK37" s="40">
        <f>298+55.64</f>
        <v>353.64</v>
      </c>
      <c r="DL37" s="40">
        <v>0</v>
      </c>
      <c r="DM37" s="40">
        <v>0</v>
      </c>
      <c r="DN37" s="40">
        <v>0</v>
      </c>
      <c r="DO37" s="40">
        <v>0</v>
      </c>
      <c r="DP37" s="40">
        <v>178.71</v>
      </c>
      <c r="DQ37" s="40">
        <v>17.66</v>
      </c>
      <c r="DR37" s="40">
        <v>0</v>
      </c>
      <c r="DS37" s="40">
        <v>774.26</v>
      </c>
      <c r="DT37" s="40">
        <v>0</v>
      </c>
      <c r="DU37" s="40">
        <v>0</v>
      </c>
      <c r="DV37" s="40">
        <v>0</v>
      </c>
      <c r="DW37" s="40">
        <f>238.08+27.62</f>
        <v>265.7</v>
      </c>
      <c r="DX37" s="40">
        <v>500</v>
      </c>
      <c r="DY37" s="40">
        <v>0</v>
      </c>
      <c r="DZ37" s="40">
        <v>-600</v>
      </c>
      <c r="EA37" s="40">
        <f>106.7+1000</f>
        <v>1106.7</v>
      </c>
      <c r="EB37" s="40">
        <f>53.77-350</f>
        <v>-296.23</v>
      </c>
      <c r="EC37" s="40">
        <v>63.28</v>
      </c>
      <c r="ED37" s="40">
        <v>450</v>
      </c>
      <c r="EE37" s="40">
        <v>0</v>
      </c>
      <c r="EF37" s="40">
        <v>518.5</v>
      </c>
      <c r="EG37" s="40">
        <v>482</v>
      </c>
      <c r="EH37" s="40">
        <v>116.54</v>
      </c>
      <c r="EI37" s="40">
        <v>651.41999999999996</v>
      </c>
      <c r="EJ37" s="40">
        <v>0</v>
      </c>
      <c r="EK37" s="40">
        <v>-10.69</v>
      </c>
      <c r="EL37" s="40">
        <v>689.91</v>
      </c>
      <c r="EM37" s="40">
        <v>-350</v>
      </c>
      <c r="EN37" s="40">
        <v>0</v>
      </c>
      <c r="EO37" s="40">
        <v>0</v>
      </c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x14ac:dyDescent="0.25">
      <c r="A38" s="41" t="s">
        <v>186</v>
      </c>
      <c r="B38" s="40">
        <v>354.33</v>
      </c>
      <c r="C38" s="40">
        <v>422.67</v>
      </c>
      <c r="D38" s="40">
        <v>354.33</v>
      </c>
      <c r="E38" s="40">
        <v>422.67</v>
      </c>
      <c r="F38" s="40">
        <v>354.33</v>
      </c>
      <c r="G38" s="40">
        <v>422.67</v>
      </c>
      <c r="H38" s="40">
        <v>-23.99</v>
      </c>
      <c r="I38" s="40">
        <v>422.67</v>
      </c>
      <c r="J38" s="40">
        <v>0</v>
      </c>
      <c r="K38" s="40">
        <v>422.67</v>
      </c>
      <c r="L38" s="40">
        <v>0</v>
      </c>
      <c r="M38" s="40">
        <v>422.67</v>
      </c>
      <c r="N38" s="40">
        <v>0</v>
      </c>
      <c r="O38" s="40">
        <v>422.67</v>
      </c>
      <c r="P38" s="40">
        <v>0</v>
      </c>
      <c r="Q38" s="40">
        <v>422.67</v>
      </c>
      <c r="R38" s="40">
        <v>0</v>
      </c>
      <c r="S38" s="40">
        <v>422.67</v>
      </c>
      <c r="T38" s="40">
        <v>0</v>
      </c>
      <c r="U38" s="40">
        <v>422.67</v>
      </c>
      <c r="V38" s="40">
        <v>0</v>
      </c>
      <c r="W38" s="40">
        <v>422.67</v>
      </c>
      <c r="X38" s="40">
        <v>0</v>
      </c>
      <c r="Y38" s="40">
        <v>422.63</v>
      </c>
      <c r="Z38" s="40">
        <f t="shared" si="27"/>
        <v>-422.63</v>
      </c>
      <c r="AA38" s="59">
        <v>3344</v>
      </c>
      <c r="AB38" s="60">
        <v>3550</v>
      </c>
      <c r="AC38" s="40" t="s">
        <v>4</v>
      </c>
      <c r="AD38" s="40">
        <f t="shared" si="28"/>
        <v>1039</v>
      </c>
      <c r="AE38" s="40">
        <f>+AI38/12*A108</f>
        <v>4252</v>
      </c>
      <c r="AF38" s="40">
        <f t="shared" si="24"/>
        <v>-3213</v>
      </c>
      <c r="AG38" s="40">
        <f t="shared" si="25"/>
        <v>5072</v>
      </c>
      <c r="AH38" s="40" t="s">
        <v>4</v>
      </c>
      <c r="AI38" s="61">
        <v>4252</v>
      </c>
      <c r="AJ38" s="62">
        <f t="shared" si="26"/>
        <v>0.24435559736594545</v>
      </c>
      <c r="AK38" s="62"/>
      <c r="AL38" s="40">
        <v>422.63</v>
      </c>
      <c r="AM38" s="40">
        <v>422.67</v>
      </c>
      <c r="AN38" s="40">
        <v>422.67</v>
      </c>
      <c r="AO38" s="40">
        <v>422.67</v>
      </c>
      <c r="AP38" s="40">
        <v>422.67</v>
      </c>
      <c r="AQ38" s="40">
        <v>422.67</v>
      </c>
      <c r="AR38" s="40">
        <v>422.67</v>
      </c>
      <c r="AS38" s="40">
        <v>422.67</v>
      </c>
      <c r="AT38" s="40">
        <v>422.67</v>
      </c>
      <c r="AU38" s="40">
        <v>422.67</v>
      </c>
      <c r="AV38" s="40">
        <v>422.67</v>
      </c>
      <c r="AW38" s="40">
        <v>422.67</v>
      </c>
      <c r="AX38" s="40">
        <v>422.67</v>
      </c>
      <c r="AY38" s="40">
        <v>422.67</v>
      </c>
      <c r="AZ38" s="40">
        <v>422.67</v>
      </c>
      <c r="BA38" s="40">
        <v>422.67</v>
      </c>
      <c r="BB38" s="40">
        <v>422.67</v>
      </c>
      <c r="BC38" s="40">
        <v>422.67</v>
      </c>
      <c r="BD38" s="40">
        <v>422.67</v>
      </c>
      <c r="BE38" s="40">
        <v>422.67</v>
      </c>
      <c r="BF38" s="40">
        <v>422.67</v>
      </c>
      <c r="BG38" s="40">
        <v>422.67</v>
      </c>
      <c r="BH38" s="40">
        <v>422.67</v>
      </c>
      <c r="BI38" s="40">
        <v>422.67</v>
      </c>
      <c r="BJ38" s="40">
        <v>429</v>
      </c>
      <c r="BK38" s="40">
        <v>429</v>
      </c>
      <c r="BL38" s="40">
        <v>429</v>
      </c>
      <c r="BM38" s="48">
        <v>429</v>
      </c>
      <c r="BN38" s="48">
        <v>429</v>
      </c>
      <c r="BO38" s="48">
        <v>429</v>
      </c>
      <c r="BP38" s="48">
        <v>429</v>
      </c>
      <c r="BQ38" s="48">
        <v>429</v>
      </c>
      <c r="BR38" s="48">
        <v>429</v>
      </c>
      <c r="BS38" s="48">
        <v>429</v>
      </c>
      <c r="BT38" s="48">
        <v>429</v>
      </c>
      <c r="BU38" s="47">
        <v>429</v>
      </c>
      <c r="BV38" s="40">
        <v>429</v>
      </c>
      <c r="BW38" s="40">
        <v>429</v>
      </c>
      <c r="BX38" s="40">
        <v>429</v>
      </c>
      <c r="BY38" s="40">
        <v>429</v>
      </c>
      <c r="BZ38" s="48">
        <v>429</v>
      </c>
      <c r="CA38" s="48">
        <v>429</v>
      </c>
      <c r="CB38" s="48">
        <v>429</v>
      </c>
      <c r="CC38" s="48">
        <v>429</v>
      </c>
      <c r="CD38" s="48">
        <v>429</v>
      </c>
      <c r="CE38" s="48">
        <v>429</v>
      </c>
      <c r="CF38" s="48">
        <v>429</v>
      </c>
      <c r="CG38" s="48">
        <v>429</v>
      </c>
      <c r="CH38" s="40">
        <v>429</v>
      </c>
      <c r="CI38" s="40">
        <v>429</v>
      </c>
      <c r="CJ38" s="40">
        <v>429</v>
      </c>
      <c r="CK38" s="47">
        <v>429</v>
      </c>
      <c r="CL38" s="40">
        <v>429</v>
      </c>
      <c r="CM38" s="40">
        <v>429</v>
      </c>
      <c r="CN38" s="40">
        <v>429</v>
      </c>
      <c r="CO38" s="40">
        <v>429</v>
      </c>
      <c r="CP38" s="40">
        <v>429</v>
      </c>
      <c r="CQ38" s="40">
        <v>308</v>
      </c>
      <c r="CR38" s="40">
        <v>489.5</v>
      </c>
      <c r="CS38" s="48">
        <v>489.5</v>
      </c>
      <c r="CT38" s="40">
        <v>489.5</v>
      </c>
      <c r="CU38" s="40">
        <v>489.5</v>
      </c>
      <c r="CV38" s="40">
        <v>489.5</v>
      </c>
      <c r="CW38" s="40">
        <v>489.5</v>
      </c>
      <c r="CX38" s="47">
        <v>489.5</v>
      </c>
      <c r="CY38" s="40">
        <v>489.5</v>
      </c>
      <c r="CZ38" s="40">
        <v>489.5</v>
      </c>
      <c r="DA38" s="40">
        <v>489.5</v>
      </c>
      <c r="DB38" s="40">
        <v>489.5</v>
      </c>
      <c r="DC38" s="40">
        <v>489.5</v>
      </c>
      <c r="DD38" s="40">
        <v>489.5</v>
      </c>
      <c r="DE38" s="40">
        <v>489.5</v>
      </c>
      <c r="DF38" s="40">
        <v>514.88</v>
      </c>
      <c r="DG38" s="40">
        <v>514.91999999999996</v>
      </c>
      <c r="DH38" s="40">
        <v>514.91999999999996</v>
      </c>
      <c r="DI38" s="40">
        <v>514.91999999999996</v>
      </c>
      <c r="DJ38" s="40">
        <v>514.91999999999996</v>
      </c>
      <c r="DK38" s="40">
        <v>514.91999999999996</v>
      </c>
      <c r="DL38" s="40">
        <v>514.91999999999996</v>
      </c>
      <c r="DM38" s="40">
        <v>514.91999999999996</v>
      </c>
      <c r="DN38" s="40">
        <v>514.91999999999996</v>
      </c>
      <c r="DO38" s="40">
        <v>514.91999999999996</v>
      </c>
      <c r="DP38" s="40">
        <v>514.91999999999996</v>
      </c>
      <c r="DQ38" s="40">
        <v>514.91999999999996</v>
      </c>
      <c r="DR38" s="40">
        <v>514</v>
      </c>
      <c r="DS38" s="40">
        <v>515</v>
      </c>
      <c r="DT38" s="40">
        <v>515</v>
      </c>
      <c r="DU38" s="40">
        <v>515</v>
      </c>
      <c r="DV38" s="40">
        <v>515</v>
      </c>
      <c r="DW38" s="40">
        <v>515</v>
      </c>
      <c r="DX38" s="40">
        <v>515</v>
      </c>
      <c r="DY38" s="40">
        <v>515</v>
      </c>
      <c r="DZ38" s="40">
        <v>515</v>
      </c>
      <c r="EA38" s="40">
        <v>515</v>
      </c>
      <c r="EB38" s="40">
        <v>515</v>
      </c>
      <c r="EC38" s="40">
        <v>515</v>
      </c>
      <c r="ED38" s="40">
        <v>534.5</v>
      </c>
      <c r="EE38" s="40">
        <v>534.5</v>
      </c>
      <c r="EF38" s="40">
        <v>534.5</v>
      </c>
      <c r="EG38" s="40">
        <v>534.5</v>
      </c>
      <c r="EH38" s="40">
        <v>534.5</v>
      </c>
      <c r="EI38" s="40">
        <v>534.5</v>
      </c>
      <c r="EJ38" s="40">
        <v>534.5</v>
      </c>
      <c r="EK38" s="40">
        <v>534.5</v>
      </c>
      <c r="EL38" s="40">
        <v>534.5</v>
      </c>
      <c r="EM38" s="40">
        <v>534.5</v>
      </c>
      <c r="EN38" s="40">
        <v>534.5</v>
      </c>
      <c r="EO38" s="40">
        <v>534.5</v>
      </c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</row>
    <row r="39" spans="1:255" hidden="1" x14ac:dyDescent="0.25">
      <c r="A39" s="41" t="s">
        <v>187</v>
      </c>
      <c r="Z39" s="40">
        <f t="shared" si="27"/>
        <v>0</v>
      </c>
      <c r="AA39" s="59"/>
      <c r="AB39" s="60"/>
      <c r="AC39" s="40" t="s">
        <v>4</v>
      </c>
      <c r="AD39" s="40">
        <f t="shared" si="28"/>
        <v>0</v>
      </c>
      <c r="AE39" s="40">
        <f>+AI39/12*A108</f>
        <v>0</v>
      </c>
      <c r="AF39" s="40">
        <f t="shared" si="24"/>
        <v>0</v>
      </c>
      <c r="AG39" s="40">
        <f t="shared" si="25"/>
        <v>0</v>
      </c>
      <c r="AH39" s="40" t="s">
        <v>4</v>
      </c>
      <c r="AI39" s="61">
        <v>0</v>
      </c>
      <c r="AJ39" s="62" t="s">
        <v>157</v>
      </c>
      <c r="AK39" s="62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K39" s="40"/>
      <c r="BL39" s="40"/>
      <c r="BN39" s="48"/>
      <c r="BS39" s="48"/>
      <c r="BT39" s="48"/>
      <c r="BU39" s="47"/>
      <c r="BV39" s="40">
        <v>0</v>
      </c>
      <c r="BX39" s="40">
        <v>0</v>
      </c>
      <c r="BY39" s="40">
        <v>0</v>
      </c>
      <c r="CA39" s="48">
        <v>0</v>
      </c>
      <c r="CF39" s="48"/>
      <c r="CG39" s="48"/>
      <c r="CH39" s="40"/>
      <c r="CI39" s="40"/>
      <c r="CJ39" s="40">
        <v>0</v>
      </c>
      <c r="CK39" s="47"/>
      <c r="CL39" s="40"/>
      <c r="CM39" s="40"/>
      <c r="CN39" s="40"/>
      <c r="CO39" s="40"/>
      <c r="CP39" s="40"/>
      <c r="CQ39" s="40"/>
      <c r="CR39" s="40"/>
      <c r="CS39" s="48"/>
      <c r="CT39" s="40"/>
      <c r="CU39" s="40"/>
      <c r="CV39" s="40"/>
      <c r="CW39" s="40"/>
      <c r="CX39" s="47"/>
      <c r="CY39" s="40"/>
      <c r="CZ39" s="40"/>
      <c r="DA39" s="40"/>
      <c r="DB39" s="40"/>
      <c r="DC39" s="40"/>
      <c r="DD39" s="40"/>
      <c r="DE39" s="40">
        <v>0</v>
      </c>
      <c r="DF39" s="40">
        <v>0</v>
      </c>
      <c r="DG39" s="40">
        <v>0</v>
      </c>
      <c r="DH39" s="40">
        <v>0</v>
      </c>
      <c r="DI39" s="40">
        <v>0</v>
      </c>
      <c r="DJ39" s="40">
        <v>0</v>
      </c>
      <c r="DK39" s="40">
        <v>0</v>
      </c>
      <c r="DL39" s="40">
        <v>0</v>
      </c>
      <c r="DM39" s="40">
        <v>0</v>
      </c>
      <c r="DN39" s="40">
        <v>0</v>
      </c>
      <c r="DO39" s="40">
        <v>0</v>
      </c>
      <c r="DP39" s="40">
        <v>0</v>
      </c>
      <c r="DQ39" s="40">
        <v>0</v>
      </c>
      <c r="DR39" s="40">
        <v>0</v>
      </c>
      <c r="DS39" s="40">
        <v>0</v>
      </c>
      <c r="DT39" s="40">
        <v>0</v>
      </c>
      <c r="DU39" s="40">
        <v>0</v>
      </c>
      <c r="DV39" s="40">
        <v>0</v>
      </c>
      <c r="DW39" s="40">
        <v>0</v>
      </c>
      <c r="DX39" s="40">
        <v>0</v>
      </c>
      <c r="DY39" s="40">
        <v>0</v>
      </c>
      <c r="DZ39" s="40">
        <v>0</v>
      </c>
      <c r="EA39" s="40">
        <v>0</v>
      </c>
      <c r="EB39" s="40">
        <v>0</v>
      </c>
      <c r="EC39" s="40">
        <v>0</v>
      </c>
      <c r="ED39" s="40">
        <v>0</v>
      </c>
      <c r="EE39" s="40">
        <v>0</v>
      </c>
      <c r="EF39" s="40">
        <v>0</v>
      </c>
      <c r="EG39" s="40">
        <v>0</v>
      </c>
      <c r="EH39" s="40">
        <v>0</v>
      </c>
      <c r="EI39" s="40">
        <v>-700</v>
      </c>
      <c r="EJ39" s="40">
        <v>0</v>
      </c>
      <c r="EK39" s="40">
        <v>0</v>
      </c>
      <c r="EL39" s="40">
        <v>0</v>
      </c>
      <c r="EM39" s="40">
        <v>0</v>
      </c>
      <c r="EN39" s="40">
        <v>0</v>
      </c>
      <c r="EO39" s="40">
        <v>0</v>
      </c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</row>
    <row r="40" spans="1:255" x14ac:dyDescent="0.25">
      <c r="A40" s="41" t="s">
        <v>188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f>115.47+225.77</f>
        <v>341.24</v>
      </c>
      <c r="H40" s="40">
        <v>0</v>
      </c>
      <c r="I40" s="40">
        <f>164.72+1960.94</f>
        <v>2125.66</v>
      </c>
      <c r="J40" s="40">
        <v>0</v>
      </c>
      <c r="K40" s="40">
        <v>0</v>
      </c>
      <c r="L40" s="40">
        <v>0</v>
      </c>
      <c r="M40" s="40">
        <v>43.7</v>
      </c>
      <c r="N40" s="40">
        <v>0</v>
      </c>
      <c r="O40" s="40">
        <v>0</v>
      </c>
      <c r="P40" s="40">
        <v>0</v>
      </c>
      <c r="Q40" s="40">
        <v>528.26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f t="shared" si="27"/>
        <v>0</v>
      </c>
      <c r="AA40" s="59">
        <v>2500</v>
      </c>
      <c r="AB40" s="60">
        <v>3000</v>
      </c>
      <c r="AC40" s="40" t="s">
        <v>4</v>
      </c>
      <c r="AD40" s="40">
        <f t="shared" si="28"/>
        <v>0</v>
      </c>
      <c r="AE40" s="40">
        <f>+AI40/12*A108</f>
        <v>3500</v>
      </c>
      <c r="AF40" s="40">
        <f>+AD40-AE40</f>
        <v>-3500</v>
      </c>
      <c r="AG40" s="40">
        <f t="shared" si="25"/>
        <v>3038.8599999999997</v>
      </c>
      <c r="AH40" s="40" t="s">
        <v>4</v>
      </c>
      <c r="AI40" s="61">
        <v>3500</v>
      </c>
      <c r="AJ40" s="62">
        <f t="shared" si="26"/>
        <v>0</v>
      </c>
      <c r="AK40" s="62"/>
      <c r="AL40" s="40">
        <v>0</v>
      </c>
      <c r="AM40" s="40">
        <v>0</v>
      </c>
      <c r="AN40" s="40">
        <v>313.54000000000002</v>
      </c>
      <c r="AO40" s="40">
        <v>-250</v>
      </c>
      <c r="AP40" s="40">
        <v>121.54</v>
      </c>
      <c r="AQ40" s="40">
        <v>0</v>
      </c>
      <c r="AR40" s="40">
        <v>135</v>
      </c>
      <c r="AS40" s="40">
        <v>0</v>
      </c>
      <c r="AT40" s="40">
        <v>0</v>
      </c>
      <c r="AU40" s="40">
        <v>790.2</v>
      </c>
      <c r="AV40" s="40">
        <v>34.24</v>
      </c>
      <c r="AW40" s="40">
        <v>0</v>
      </c>
      <c r="AX40" s="40">
        <v>1000</v>
      </c>
      <c r="AY40" s="40">
        <v>0</v>
      </c>
      <c r="AZ40" s="40">
        <v>1243.1199999999999</v>
      </c>
      <c r="BA40" s="40">
        <v>568.9</v>
      </c>
      <c r="BB40" s="40">
        <v>288.37</v>
      </c>
      <c r="BC40" s="40">
        <v>0</v>
      </c>
      <c r="BD40" s="40">
        <v>0</v>
      </c>
      <c r="BE40" s="40">
        <v>0</v>
      </c>
      <c r="BF40" s="40">
        <v>0</v>
      </c>
      <c r="BG40" s="40">
        <v>-100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8">
        <v>100</v>
      </c>
      <c r="BN40" s="48">
        <v>619.38</v>
      </c>
      <c r="BO40" s="40">
        <v>0</v>
      </c>
      <c r="BP40" s="40">
        <f>161.4+600</f>
        <v>761.4</v>
      </c>
      <c r="BQ40" s="47">
        <v>0</v>
      </c>
      <c r="BR40" s="48">
        <f>140+427.94</f>
        <v>567.94000000000005</v>
      </c>
      <c r="BS40" s="48">
        <v>216.65</v>
      </c>
      <c r="BT40" s="48">
        <v>0</v>
      </c>
      <c r="BU40" s="47">
        <v>0</v>
      </c>
      <c r="BV40" s="40">
        <v>0</v>
      </c>
      <c r="BW40" s="40">
        <v>0</v>
      </c>
      <c r="BX40" s="40">
        <v>0</v>
      </c>
      <c r="BY40" s="40">
        <v>0</v>
      </c>
      <c r="BZ40" s="48">
        <v>159.85</v>
      </c>
      <c r="CA40" s="48">
        <v>0</v>
      </c>
      <c r="CB40" s="40">
        <v>310</v>
      </c>
      <c r="CC40" s="40">
        <v>79.23</v>
      </c>
      <c r="CD40" s="47">
        <v>0</v>
      </c>
      <c r="CE40" s="48">
        <v>0</v>
      </c>
      <c r="CF40" s="48">
        <v>0</v>
      </c>
      <c r="CG40" s="48">
        <v>0</v>
      </c>
      <c r="CH40" s="40">
        <v>0</v>
      </c>
      <c r="CI40" s="40">
        <f>600+423.72</f>
        <v>1023.72</v>
      </c>
      <c r="CJ40" s="40">
        <v>100</v>
      </c>
      <c r="CK40" s="47">
        <v>0</v>
      </c>
      <c r="CL40" s="40">
        <f>490+112.89</f>
        <v>602.89</v>
      </c>
      <c r="CM40" s="40">
        <v>0</v>
      </c>
      <c r="CN40" s="40">
        <v>0</v>
      </c>
      <c r="CO40" s="40">
        <v>7.23</v>
      </c>
      <c r="CP40" s="40">
        <v>240</v>
      </c>
      <c r="CQ40" s="40">
        <v>0</v>
      </c>
      <c r="CR40" s="40">
        <v>0</v>
      </c>
      <c r="CS40" s="48">
        <v>10</v>
      </c>
      <c r="CT40" s="40">
        <v>-50.46</v>
      </c>
      <c r="CU40" s="40">
        <v>183.84</v>
      </c>
      <c r="CV40" s="40">
        <v>411.21</v>
      </c>
      <c r="CW40" s="40">
        <f>111.44-273.79</f>
        <v>-162.35000000000002</v>
      </c>
      <c r="CX40" s="47">
        <f>91.94+110.2+23.42+1913.17</f>
        <v>2138.73</v>
      </c>
      <c r="CY40" s="40">
        <f>7.5+9.6+50.4</f>
        <v>67.5</v>
      </c>
      <c r="CZ40" s="40">
        <v>7.5</v>
      </c>
      <c r="DA40" s="40">
        <f>7.5+104.33</f>
        <v>111.83</v>
      </c>
      <c r="DB40" s="40">
        <f>7.5+170</f>
        <v>177.5</v>
      </c>
      <c r="DC40" s="40">
        <v>7.5</v>
      </c>
      <c r="DD40" s="40">
        <v>7.5</v>
      </c>
      <c r="DE40" s="40">
        <v>13.3</v>
      </c>
      <c r="DF40" s="40">
        <v>7.5</v>
      </c>
      <c r="DG40" s="40">
        <v>7.5</v>
      </c>
      <c r="DH40" s="40">
        <v>0</v>
      </c>
      <c r="DI40" s="40">
        <f>-1840.39-1336.14</f>
        <v>-3176.53</v>
      </c>
      <c r="DJ40" s="40">
        <f>799.67+298.08</f>
        <v>1097.75</v>
      </c>
      <c r="DK40" s="40">
        <f>174.56-100</f>
        <v>74.56</v>
      </c>
      <c r="DL40" s="40">
        <f>12.4+0.06+99.94</f>
        <v>112.4</v>
      </c>
      <c r="DM40" s="40">
        <f>42.5+1336.08+50.63</f>
        <v>1429.21</v>
      </c>
      <c r="DN40" s="40">
        <f>1347.85-400</f>
        <v>947.84999999999991</v>
      </c>
      <c r="DO40" s="40">
        <v>206.19</v>
      </c>
      <c r="DP40" s="40">
        <v>37.86</v>
      </c>
      <c r="DQ40" s="40">
        <f>18.3+765.97+400</f>
        <v>1184.27</v>
      </c>
      <c r="DR40" s="40">
        <v>0</v>
      </c>
      <c r="DS40" s="40">
        <v>0</v>
      </c>
      <c r="DT40" s="40"/>
      <c r="DU40" s="40">
        <v>0</v>
      </c>
      <c r="DV40" s="40">
        <v>0</v>
      </c>
      <c r="DW40" s="40">
        <v>0</v>
      </c>
      <c r="DX40" s="40">
        <v>0</v>
      </c>
      <c r="DY40" s="40">
        <v>0</v>
      </c>
      <c r="DZ40" s="40">
        <v>0</v>
      </c>
      <c r="EA40" s="40">
        <v>0</v>
      </c>
      <c r="EB40" s="40">
        <v>0</v>
      </c>
      <c r="EC40" s="40">
        <v>0</v>
      </c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x14ac:dyDescent="0.25">
      <c r="A41" s="41" t="s">
        <v>189</v>
      </c>
      <c r="B41" s="40">
        <f>778.71+475</f>
        <v>1253.71</v>
      </c>
      <c r="C41" s="40">
        <f>613.64+2348.81</f>
        <v>2962.45</v>
      </c>
      <c r="D41" s="40">
        <f>2303.5+14.54</f>
        <v>2318.04</v>
      </c>
      <c r="E41" s="40">
        <v>0</v>
      </c>
      <c r="F41" s="40">
        <f>139</f>
        <v>139</v>
      </c>
      <c r="G41" s="40">
        <f>525.56</f>
        <v>525.55999999999995</v>
      </c>
      <c r="H41" s="40">
        <f>675</f>
        <v>675</v>
      </c>
      <c r="I41" s="40">
        <f>70.56-110+310+1299.05</f>
        <v>1569.61</v>
      </c>
      <c r="J41" s="40">
        <f>225</f>
        <v>225</v>
      </c>
      <c r="K41" s="40">
        <v>1485.5</v>
      </c>
      <c r="L41" s="40">
        <v>1961.5</v>
      </c>
      <c r="M41" s="40">
        <f>8.85+1775-600</f>
        <v>1183.8499999999999</v>
      </c>
      <c r="N41" s="40">
        <v>164.5</v>
      </c>
      <c r="O41" s="40">
        <f>825.03-200</f>
        <v>625.03</v>
      </c>
      <c r="P41" s="40">
        <f>-400+600</f>
        <v>200</v>
      </c>
      <c r="Q41" s="40">
        <f>73.08+175.5</f>
        <v>248.57999999999998</v>
      </c>
      <c r="R41" s="40">
        <v>111.5</v>
      </c>
      <c r="S41" s="40">
        <f>945.08-200+135.19+300+700+267.75</f>
        <v>2148.02</v>
      </c>
      <c r="T41" s="40">
        <v>351</v>
      </c>
      <c r="U41" s="40">
        <f>-78.5+2094.86+106.19</f>
        <v>2122.5500000000002</v>
      </c>
      <c r="V41" s="40">
        <v>0</v>
      </c>
      <c r="W41" s="40">
        <f>1071.58-11-1.16</f>
        <v>1059.4199999999998</v>
      </c>
      <c r="X41" s="40">
        <v>0</v>
      </c>
      <c r="Y41" s="40">
        <f>2121-93.56+12.99</f>
        <v>2040.43</v>
      </c>
      <c r="Z41" s="40">
        <f t="shared" si="27"/>
        <v>-2040.43</v>
      </c>
      <c r="AA41" s="59">
        <v>16000</v>
      </c>
      <c r="AB41" s="60">
        <v>26500</v>
      </c>
      <c r="AC41" s="40" t="s">
        <v>4</v>
      </c>
      <c r="AD41" s="40">
        <f t="shared" si="28"/>
        <v>7399.25</v>
      </c>
      <c r="AE41" s="40">
        <f>+AI41/12*A108</f>
        <v>26500</v>
      </c>
      <c r="AF41" s="40">
        <f>+AD41-AE41</f>
        <v>-19100.75</v>
      </c>
      <c r="AG41" s="40">
        <f t="shared" si="25"/>
        <v>15971.000000000002</v>
      </c>
      <c r="AH41" s="40" t="s">
        <v>4</v>
      </c>
      <c r="AI41" s="61">
        <v>26500</v>
      </c>
      <c r="AJ41" s="62">
        <f t="shared" si="26"/>
        <v>0.27921698113207549</v>
      </c>
      <c r="AK41" s="62"/>
      <c r="AL41" s="40">
        <f>200+850</f>
        <v>1050</v>
      </c>
      <c r="AM41" s="40">
        <f>87.2+584.14+2347.5+745.4+100</f>
        <v>3864.2400000000002</v>
      </c>
      <c r="AN41" s="40">
        <f>10.64+297+124.57</f>
        <v>432.21</v>
      </c>
      <c r="AO41" s="40">
        <f>-400+234.35+3608.64+138.43+1000+347.46</f>
        <v>4928.88</v>
      </c>
      <c r="AP41" s="40">
        <f>314.23+502.2+219.08</f>
        <v>1035.51</v>
      </c>
      <c r="AQ41" s="40">
        <f>1870.5+100</f>
        <v>1970.5</v>
      </c>
      <c r="AR41" s="40">
        <v>908</v>
      </c>
      <c r="AS41" s="40">
        <f>28.5+716</f>
        <v>744.5</v>
      </c>
      <c r="AT41" s="40">
        <f>585.75+990+94.5+150.75</f>
        <v>1821</v>
      </c>
      <c r="AU41" s="40">
        <f>600+2904.36+32.1+355.87</f>
        <v>3892.33</v>
      </c>
      <c r="AV41" s="40">
        <f>81.75+2759.5+1237</f>
        <v>4078.25</v>
      </c>
      <c r="AW41" s="40">
        <f>381.25+202.5+315+575</f>
        <v>1473.75</v>
      </c>
      <c r="AX41" s="40">
        <f>1199-200-21</f>
        <v>978</v>
      </c>
      <c r="AY41" s="40">
        <f>665.95+496.89</f>
        <v>1162.8400000000001</v>
      </c>
      <c r="AZ41" s="40">
        <f>209-11+133.68+105.24</f>
        <v>436.92</v>
      </c>
      <c r="BA41" s="40">
        <f>2747.76+128.4+1000+205.98</f>
        <v>4082.1400000000003</v>
      </c>
      <c r="BB41" s="40">
        <f>971.1+64.2+146.06</f>
        <v>1181.3599999999999</v>
      </c>
      <c r="BC41" s="40">
        <f>455.82+1689</f>
        <v>2144.8200000000002</v>
      </c>
      <c r="BD41" s="40">
        <v>175.5</v>
      </c>
      <c r="BE41" s="40">
        <f>53.5+654.06+558</f>
        <v>1265.56</v>
      </c>
      <c r="BF41" s="40">
        <f>828.31+2685+510.59+238.28</f>
        <v>4262.18</v>
      </c>
      <c r="BG41" s="40">
        <f>381.25+1471+1215.45</f>
        <v>3067.7</v>
      </c>
      <c r="BH41" s="40">
        <f>280+350+520.8+684.46</f>
        <v>1835.26</v>
      </c>
      <c r="BI41" s="40">
        <v>-650</v>
      </c>
      <c r="BJ41" s="40">
        <f>1199-22</f>
        <v>1177</v>
      </c>
      <c r="BK41" s="40">
        <f>921.39-1749</f>
        <v>-827.61</v>
      </c>
      <c r="BL41" s="40">
        <v>3584.44</v>
      </c>
      <c r="BM41" s="48">
        <f>221.4+209.22+203.17+232.73</f>
        <v>866.52</v>
      </c>
      <c r="BN41" s="48">
        <f>120.53+18.69+1000</f>
        <v>1139.22</v>
      </c>
      <c r="BO41" s="40">
        <f>395.28+307.8+689</f>
        <v>1392.08</v>
      </c>
      <c r="BP41" s="40">
        <f>29.7+175.5</f>
        <v>205.2</v>
      </c>
      <c r="BQ41" s="47">
        <v>0</v>
      </c>
      <c r="BR41" s="48">
        <f>335.96+1720+610.5+112.82+14.49</f>
        <v>2793.77</v>
      </c>
      <c r="BS41" s="48">
        <f>2874.96-119+177.12</f>
        <v>2933.08</v>
      </c>
      <c r="BT41" s="48">
        <f>36.86+223.04+150+320</f>
        <v>729.9</v>
      </c>
      <c r="BU41" s="47">
        <f>484.38+254.66+1893.16</f>
        <v>2632.2</v>
      </c>
      <c r="BV41" s="40">
        <v>-200</v>
      </c>
      <c r="BW41" s="40">
        <f>103.5+1231.93-250</f>
        <v>1085.43</v>
      </c>
      <c r="BX41" s="40">
        <f>326.32+452.28+1046.47+134.28-100</f>
        <v>1859.35</v>
      </c>
      <c r="BY41" s="40">
        <f>110.4+293.25+1600+396.04</f>
        <v>2399.69</v>
      </c>
      <c r="BZ41" s="48">
        <v>119.6</v>
      </c>
      <c r="CA41" s="48">
        <f>103.5+468.31+300</f>
        <v>871.81</v>
      </c>
      <c r="CB41" s="40">
        <f>310+157.5</f>
        <v>467.5</v>
      </c>
      <c r="CC41" s="40">
        <v>0</v>
      </c>
      <c r="CD41" s="47">
        <f>92+485.98+148.66-40+570.67</f>
        <v>1257.31</v>
      </c>
      <c r="CE41" s="48">
        <f>415.15-40-235</f>
        <v>140.14999999999998</v>
      </c>
      <c r="CF41" s="48">
        <f>150+250</f>
        <v>400</v>
      </c>
      <c r="CG41" s="48">
        <f>1745.14+30+435.13+286.25</f>
        <v>2496.52</v>
      </c>
      <c r="CH41" s="40">
        <v>880</v>
      </c>
      <c r="CI41" s="40">
        <f>1613.51+1782.5+186.42+727.89+263</f>
        <v>4573.3200000000006</v>
      </c>
      <c r="CJ41" s="40">
        <v>0</v>
      </c>
      <c r="CK41" s="47">
        <f>202.5+616.58+508.77+1000+401.25+252.52</f>
        <v>2981.62</v>
      </c>
      <c r="CL41" s="40">
        <f>145.33+210</f>
        <v>355.33000000000004</v>
      </c>
      <c r="CM41" s="40">
        <f>471.62+359.19</f>
        <v>830.81</v>
      </c>
      <c r="CN41" s="40">
        <f>50.4+1404</f>
        <v>1454.4</v>
      </c>
      <c r="CO41" s="40">
        <v>500</v>
      </c>
      <c r="CP41" s="40">
        <f>47.34+374.59+465+156.75+1054.49</f>
        <v>2098.17</v>
      </c>
      <c r="CQ41" s="40">
        <f>445.5-11+125+465.72</f>
        <v>1025.22</v>
      </c>
      <c r="CR41" s="40">
        <v>593.63</v>
      </c>
      <c r="CS41" s="48">
        <f>28.18+289.46+1434.5+100+9.1</f>
        <v>1861.2399999999998</v>
      </c>
      <c r="CT41" s="40">
        <f>13.59+100</f>
        <v>113.59</v>
      </c>
      <c r="CU41" s="40">
        <v>1542.8</v>
      </c>
      <c r="CV41" s="40">
        <f>1147.74+9.9+592.42+183.91</f>
        <v>1933.97</v>
      </c>
      <c r="CW41" s="40">
        <f>231.65+350.9+31.05+384.76+1100+140.12+253.8</f>
        <v>2492.2799999999997</v>
      </c>
      <c r="CX41" s="47">
        <v>81</v>
      </c>
      <c r="CY41" s="40">
        <f>550.57+100</f>
        <v>650.57000000000005</v>
      </c>
      <c r="CZ41" s="40">
        <v>1067</v>
      </c>
      <c r="DA41" s="40">
        <v>0</v>
      </c>
      <c r="DB41" s="40">
        <f>466.89+220+381.25-200+374.87</f>
        <v>1243.0099999999998</v>
      </c>
      <c r="DC41" s="40">
        <f>2031+1492.5+496.07</f>
        <v>4019.57</v>
      </c>
      <c r="DD41" s="40">
        <f>346.91+600+390+7.8+755</f>
        <v>2099.71</v>
      </c>
      <c r="DE41" s="40">
        <f>106.31-200+535</f>
        <v>441.31</v>
      </c>
      <c r="DF41" s="40">
        <v>-200</v>
      </c>
      <c r="DG41" s="40">
        <f>1800.82-200</f>
        <v>1600.82</v>
      </c>
      <c r="DH41" s="40">
        <f>1336.04+715.95-200+33.31</f>
        <v>1885.2999999999997</v>
      </c>
      <c r="DI41" s="40">
        <f>1010+549.09+1336.14+2250.08+225+378.82</f>
        <v>5749.13</v>
      </c>
      <c r="DJ41" s="40">
        <v>184.5</v>
      </c>
      <c r="DK41" s="40">
        <f>351.15+1171</f>
        <v>1522.15</v>
      </c>
      <c r="DL41" s="40">
        <f>134.87-200</f>
        <v>-65.13</v>
      </c>
      <c r="DM41" s="40">
        <f>300+371.25+171</f>
        <v>842.25</v>
      </c>
      <c r="DN41" s="40">
        <f>348.46+454.16+90</f>
        <v>892.62</v>
      </c>
      <c r="DO41" s="40">
        <v>710.62</v>
      </c>
      <c r="DP41" s="40">
        <f>331.25</f>
        <v>331.25</v>
      </c>
      <c r="DQ41" s="40">
        <f>736.73+1465.25-92+111</f>
        <v>2220.98</v>
      </c>
      <c r="DR41" s="40">
        <v>0</v>
      </c>
      <c r="DS41" s="40">
        <v>1835.51</v>
      </c>
      <c r="DT41" s="40"/>
      <c r="DU41" s="40">
        <v>0</v>
      </c>
      <c r="DV41" s="40">
        <v>465.65</v>
      </c>
      <c r="DW41" s="40">
        <v>718.09</v>
      </c>
      <c r="DX41" s="40">
        <v>786.17</v>
      </c>
      <c r="DY41" s="40">
        <v>0</v>
      </c>
      <c r="DZ41" s="40">
        <v>371.7</v>
      </c>
      <c r="EA41" s="40"/>
      <c r="EB41" s="40">
        <v>1039.2</v>
      </c>
      <c r="EC41" s="40">
        <v>391.38</v>
      </c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</row>
    <row r="42" spans="1:255" hidden="1" x14ac:dyDescent="0.25">
      <c r="A42" s="41" t="s">
        <v>190</v>
      </c>
      <c r="V42" s="40">
        <v>0</v>
      </c>
      <c r="Z42" s="40">
        <f t="shared" si="27"/>
        <v>0</v>
      </c>
      <c r="AA42" s="59"/>
      <c r="AB42" s="60"/>
      <c r="AC42" s="40" t="s">
        <v>4</v>
      </c>
      <c r="AD42" s="40">
        <f t="shared" si="28"/>
        <v>0</v>
      </c>
      <c r="AE42" s="40">
        <f>+AI42/12*A108</f>
        <v>0</v>
      </c>
      <c r="AF42" s="40">
        <f t="shared" si="24"/>
        <v>0</v>
      </c>
      <c r="AG42" s="40">
        <f t="shared" si="25"/>
        <v>0</v>
      </c>
      <c r="AH42" s="40" t="s">
        <v>4</v>
      </c>
      <c r="AI42" s="61">
        <v>0</v>
      </c>
      <c r="AJ42" s="62" t="s">
        <v>157</v>
      </c>
      <c r="AK42" s="62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8"/>
      <c r="BN42" s="48"/>
      <c r="BO42" s="40"/>
      <c r="BQ42" s="47"/>
      <c r="BR42" s="48"/>
      <c r="BS42" s="48"/>
      <c r="BT42" s="48"/>
      <c r="BU42" s="47"/>
      <c r="BV42" s="40">
        <v>0</v>
      </c>
      <c r="BW42" s="40">
        <v>0</v>
      </c>
      <c r="BX42" s="40"/>
      <c r="BY42" s="40">
        <v>0</v>
      </c>
      <c r="BZ42" s="48">
        <v>0</v>
      </c>
      <c r="CA42" s="48">
        <v>0</v>
      </c>
      <c r="CB42" s="40"/>
      <c r="CD42" s="47">
        <v>0</v>
      </c>
      <c r="CE42" s="48">
        <v>0</v>
      </c>
      <c r="CF42" s="48"/>
      <c r="CG42" s="48"/>
      <c r="CH42" s="40"/>
      <c r="CI42" s="40"/>
      <c r="CJ42" s="40"/>
      <c r="CK42" s="47"/>
      <c r="CL42" s="40"/>
      <c r="CM42" s="40"/>
      <c r="CN42" s="40"/>
      <c r="CO42" s="40"/>
      <c r="CP42" s="40"/>
      <c r="CQ42" s="40"/>
      <c r="CR42" s="41"/>
      <c r="CS42" s="48"/>
      <c r="CT42" s="40"/>
      <c r="CU42" s="40"/>
      <c r="CV42" s="40"/>
      <c r="CW42" s="40"/>
      <c r="CX42" s="47"/>
      <c r="CY42" s="40"/>
      <c r="CZ42" s="40"/>
      <c r="DA42" s="40"/>
      <c r="DB42" s="40"/>
      <c r="DC42" s="40"/>
      <c r="DD42" s="40"/>
      <c r="DE42" s="41"/>
      <c r="DF42" s="40">
        <v>0</v>
      </c>
      <c r="DG42" s="40">
        <v>0</v>
      </c>
      <c r="DH42" s="40">
        <v>0</v>
      </c>
      <c r="DI42" s="40">
        <v>0</v>
      </c>
      <c r="DJ42" s="40">
        <v>0</v>
      </c>
      <c r="DK42" s="40">
        <v>0</v>
      </c>
      <c r="DL42" s="40">
        <v>0</v>
      </c>
      <c r="DM42" s="40">
        <v>0</v>
      </c>
      <c r="DN42" s="40">
        <v>0</v>
      </c>
      <c r="DO42" s="40">
        <v>0</v>
      </c>
      <c r="DP42" s="40">
        <v>0</v>
      </c>
      <c r="DQ42" s="40">
        <v>0</v>
      </c>
      <c r="DR42" s="40">
        <f>331.25+1090+14+525</f>
        <v>1960.25</v>
      </c>
      <c r="DS42" s="40">
        <v>127.03</v>
      </c>
      <c r="DT42" s="40">
        <f>6.39-15.5+351.98+473.97+5995.45</f>
        <v>6812.29</v>
      </c>
      <c r="DU42" s="40">
        <f>444+684.5+278.61+14+134.72</f>
        <v>1555.8300000000002</v>
      </c>
      <c r="DV42" s="40">
        <f>33.3+185.93+51.06+89.91+348.29</f>
        <v>708.49</v>
      </c>
      <c r="DW42" s="40">
        <f>194.59+523.5</f>
        <v>718.09</v>
      </c>
      <c r="DX42" s="40">
        <v>836.52</v>
      </c>
      <c r="DY42" s="40">
        <f>139.1+136.17+650+9.5+1498.01</f>
        <v>2432.7799999999997</v>
      </c>
      <c r="DZ42" s="40">
        <v>905.6</v>
      </c>
      <c r="EA42" s="40">
        <f>437.52+84</f>
        <v>521.52</v>
      </c>
      <c r="EB42" s="40">
        <f>110.75+658.37+1039.2+578+679-1039.2</f>
        <v>2026.1200000000001</v>
      </c>
      <c r="EC42" s="40">
        <f>441.46+216.75+41.74</f>
        <v>699.95</v>
      </c>
      <c r="ED42" s="40">
        <v>4106.17</v>
      </c>
      <c r="EE42" s="40">
        <v>1376.05</v>
      </c>
      <c r="EF42" s="40">
        <v>689.91</v>
      </c>
      <c r="EG42" s="40">
        <v>5950.18</v>
      </c>
      <c r="EH42" s="40">
        <v>3690.39</v>
      </c>
      <c r="EI42" s="40">
        <v>155.5</v>
      </c>
      <c r="EJ42" s="40">
        <v>1539.5</v>
      </c>
      <c r="EK42" s="40">
        <v>996.68</v>
      </c>
      <c r="EL42" s="40">
        <v>3813.49</v>
      </c>
      <c r="EM42" s="40">
        <v>1778</v>
      </c>
      <c r="EN42" s="40">
        <v>3199.88</v>
      </c>
      <c r="EO42" s="40">
        <f>429+203.64+442.55+192.58+50+131+314.5+1196.05</f>
        <v>2959.3199999999997</v>
      </c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</row>
    <row r="43" spans="1:255" hidden="1" x14ac:dyDescent="0.25">
      <c r="A43" s="41" t="s">
        <v>191</v>
      </c>
      <c r="V43" s="40">
        <v>0</v>
      </c>
      <c r="Z43" s="40">
        <f t="shared" si="27"/>
        <v>0</v>
      </c>
      <c r="AA43" s="59"/>
      <c r="AB43" s="60"/>
      <c r="AC43" s="40" t="s">
        <v>4</v>
      </c>
      <c r="AD43" s="40">
        <f t="shared" si="28"/>
        <v>0</v>
      </c>
      <c r="AE43" s="40">
        <f>+AI43/12*A108</f>
        <v>0</v>
      </c>
      <c r="AF43" s="40">
        <f t="shared" si="24"/>
        <v>0</v>
      </c>
      <c r="AG43" s="40">
        <f t="shared" si="25"/>
        <v>0</v>
      </c>
      <c r="AH43" s="40" t="s">
        <v>4</v>
      </c>
      <c r="AI43" s="61">
        <v>0</v>
      </c>
      <c r="AJ43" s="62" t="s">
        <v>157</v>
      </c>
      <c r="AK43" s="62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8"/>
      <c r="BN43" s="48"/>
      <c r="BO43" s="40"/>
      <c r="BQ43" s="47"/>
      <c r="BR43" s="48"/>
      <c r="BS43" s="48"/>
      <c r="BT43" s="48"/>
      <c r="BU43" s="47"/>
      <c r="BV43" s="40">
        <v>0</v>
      </c>
      <c r="BW43" s="40">
        <v>0</v>
      </c>
      <c r="BX43" s="40"/>
      <c r="BY43" s="40">
        <v>0</v>
      </c>
      <c r="BZ43" s="48">
        <v>0</v>
      </c>
      <c r="CA43" s="48">
        <v>0</v>
      </c>
      <c r="CB43" s="40"/>
      <c r="CD43" s="47">
        <v>0</v>
      </c>
      <c r="CE43" s="48">
        <v>0</v>
      </c>
      <c r="CF43" s="48"/>
      <c r="CG43" s="48"/>
      <c r="CH43" s="40"/>
      <c r="CI43" s="40"/>
      <c r="CJ43" s="40"/>
      <c r="CK43" s="47"/>
      <c r="CL43" s="40"/>
      <c r="CM43" s="40"/>
      <c r="CN43" s="40"/>
      <c r="CO43" s="40"/>
      <c r="CP43" s="40"/>
      <c r="CQ43" s="40"/>
      <c r="CR43" s="41"/>
      <c r="CS43" s="48"/>
      <c r="CT43" s="40"/>
      <c r="CU43" s="40"/>
      <c r="CV43" s="40"/>
      <c r="CW43" s="40"/>
      <c r="CX43" s="47"/>
      <c r="CY43" s="40"/>
      <c r="CZ43" s="40"/>
      <c r="DA43" s="40"/>
      <c r="DB43" s="40"/>
      <c r="DC43" s="40"/>
      <c r="DD43" s="40"/>
      <c r="DE43" s="41"/>
      <c r="DF43" s="40">
        <v>0</v>
      </c>
      <c r="DG43" s="40">
        <v>0</v>
      </c>
      <c r="DH43" s="40">
        <v>0</v>
      </c>
      <c r="DI43" s="40">
        <v>0</v>
      </c>
      <c r="DJ43" s="40">
        <v>0</v>
      </c>
      <c r="DK43" s="40">
        <v>0</v>
      </c>
      <c r="DL43" s="40">
        <v>0</v>
      </c>
      <c r="DM43" s="40">
        <v>0</v>
      </c>
      <c r="DN43" s="40">
        <v>0</v>
      </c>
      <c r="DO43" s="40">
        <v>0</v>
      </c>
      <c r="DP43" s="40">
        <v>0</v>
      </c>
      <c r="DQ43" s="40">
        <v>0</v>
      </c>
      <c r="DR43" s="40">
        <v>7.5</v>
      </c>
      <c r="DS43" s="40">
        <f>7.5+100</f>
        <v>107.5</v>
      </c>
      <c r="DT43" s="40">
        <f>7.5+98.42</f>
        <v>105.92</v>
      </c>
      <c r="DU43" s="40">
        <v>7.5</v>
      </c>
      <c r="DV43" s="40">
        <f>7.5+230.58+128.76+61.61+49.95</f>
        <v>478.40000000000003</v>
      </c>
      <c r="DW43" s="40">
        <v>7.5</v>
      </c>
      <c r="DX43" s="40">
        <v>7.5</v>
      </c>
      <c r="DY43" s="40">
        <f>120+135</f>
        <v>255</v>
      </c>
      <c r="DZ43" s="40">
        <v>7.5</v>
      </c>
      <c r="EA43" s="40">
        <v>7.5</v>
      </c>
      <c r="EB43" s="40">
        <f>7.5+116.28+50</f>
        <v>173.78</v>
      </c>
      <c r="EC43" s="40">
        <f>7.5+541.08</f>
        <v>548.58000000000004</v>
      </c>
      <c r="ED43" s="40">
        <v>503.58</v>
      </c>
      <c r="EE43" s="40">
        <v>7.5</v>
      </c>
      <c r="EF43" s="40">
        <v>7.5</v>
      </c>
      <c r="EG43" s="40">
        <v>294.24</v>
      </c>
      <c r="EH43" s="40">
        <v>567.45000000000005</v>
      </c>
      <c r="EI43" s="40">
        <v>909.66</v>
      </c>
      <c r="EJ43" s="40">
        <v>7.5</v>
      </c>
      <c r="EK43" s="40">
        <v>1540.06</v>
      </c>
      <c r="EL43" s="40">
        <v>413.1</v>
      </c>
      <c r="EM43" s="40">
        <v>122</v>
      </c>
      <c r="EN43" s="40">
        <v>849.39</v>
      </c>
      <c r="EO43" s="40">
        <f>7.5+186+260+13.6+93+139+100+174</f>
        <v>973.1</v>
      </c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:255" x14ac:dyDescent="0.25">
      <c r="A44" s="41" t="s">
        <v>192</v>
      </c>
      <c r="B44" s="40">
        <f>28.15+600</f>
        <v>628.15</v>
      </c>
      <c r="C44" s="40">
        <v>600</v>
      </c>
      <c r="D44" s="40">
        <f>28.15+350</f>
        <v>378.15</v>
      </c>
      <c r="E44" s="40">
        <f>26.36+48.15+660.32</f>
        <v>734.83</v>
      </c>
      <c r="F44" s="40">
        <f>23.15+693.73</f>
        <v>716.88</v>
      </c>
      <c r="G44" s="40">
        <f>98.02+600</f>
        <v>698.02</v>
      </c>
      <c r="H44" s="40">
        <f>25+600</f>
        <v>625</v>
      </c>
      <c r="I44" s="40">
        <f>28.15+600-2675</f>
        <v>-2046.85</v>
      </c>
      <c r="J44" s="40">
        <f>28.15+600</f>
        <v>628.15</v>
      </c>
      <c r="K44" s="40">
        <f>770.52-929.39</f>
        <v>-158.87</v>
      </c>
      <c r="L44" s="40">
        <f>25+600</f>
        <v>625</v>
      </c>
      <c r="M44" s="40">
        <f>56.3+600+2355.43</f>
        <v>3011.7299999999996</v>
      </c>
      <c r="N44" s="40">
        <f>25+600</f>
        <v>625</v>
      </c>
      <c r="O44" s="40">
        <f>24.08+600</f>
        <v>624.08000000000004</v>
      </c>
      <c r="P44" s="40">
        <f>25+663.83</f>
        <v>688.83</v>
      </c>
      <c r="Q44" s="40">
        <f>24.08+746.74-50</f>
        <v>720.82</v>
      </c>
      <c r="R44" s="40">
        <f>30.67+663.83</f>
        <v>694.5</v>
      </c>
      <c r="S44" s="40">
        <f>24.08+692.8-65</f>
        <v>651.88</v>
      </c>
      <c r="T44" s="40">
        <f>25+627.6</f>
        <v>652.6</v>
      </c>
      <c r="U44" s="40">
        <v>701.5</v>
      </c>
      <c r="V44" s="40">
        <f>35.02+600</f>
        <v>635.02</v>
      </c>
      <c r="W44" s="40">
        <f>600+24</f>
        <v>624</v>
      </c>
      <c r="X44" s="40">
        <f>28.85+600</f>
        <v>628.85</v>
      </c>
      <c r="Y44" s="40">
        <f>56.3+788.74</f>
        <v>845.04</v>
      </c>
      <c r="Z44" s="40">
        <f t="shared" si="27"/>
        <v>-216.18999999999994</v>
      </c>
      <c r="AA44" s="59">
        <v>9000</v>
      </c>
      <c r="AB44" s="60">
        <v>12000</v>
      </c>
      <c r="AC44" s="40" t="s">
        <v>4</v>
      </c>
      <c r="AD44" s="40">
        <f t="shared" si="28"/>
        <v>7526.130000000001</v>
      </c>
      <c r="AE44" s="40">
        <f>+AI44/12*A108</f>
        <v>12000</v>
      </c>
      <c r="AF44" s="40">
        <f>+AD44-AE44</f>
        <v>-4473.869999999999</v>
      </c>
      <c r="AG44" s="40">
        <f t="shared" si="25"/>
        <v>7006.1799999999994</v>
      </c>
      <c r="AH44" s="40" t="s">
        <v>4</v>
      </c>
      <c r="AI44" s="61">
        <v>12000</v>
      </c>
      <c r="AJ44" s="62">
        <f>+AD44/AI44</f>
        <v>0.62717750000000005</v>
      </c>
      <c r="AK44" s="62"/>
      <c r="AL44" s="40">
        <f>20+739.2</f>
        <v>759.2</v>
      </c>
      <c r="AM44" s="40">
        <f>20+680.66</f>
        <v>700.66</v>
      </c>
      <c r="AN44" s="40">
        <f>20+721.54</f>
        <v>741.54</v>
      </c>
      <c r="AO44" s="40">
        <f>20+702.46</f>
        <v>722.46</v>
      </c>
      <c r="AP44" s="40">
        <f>20+600</f>
        <v>620</v>
      </c>
      <c r="AQ44" s="40">
        <f>20+717.72</f>
        <v>737.72</v>
      </c>
      <c r="AR44" s="40">
        <f>20+1427.44+2767.5</f>
        <v>4214.9400000000005</v>
      </c>
      <c r="AS44" s="40">
        <f>40+1390.25-3157.66</f>
        <v>-1727.4099999999999</v>
      </c>
      <c r="AT44" s="40">
        <f>308.85+1597.2</f>
        <v>1906.0500000000002</v>
      </c>
      <c r="AU44" s="40">
        <f>20+795.11</f>
        <v>815.11</v>
      </c>
      <c r="AV44" s="40">
        <f>20+696.47-500</f>
        <v>216.47000000000003</v>
      </c>
      <c r="AW44" s="40">
        <f>49.71+637.06</f>
        <v>686.77</v>
      </c>
      <c r="AX44" s="40">
        <f>600+91.56</f>
        <v>691.56</v>
      </c>
      <c r="AY44" s="40">
        <f>51.28+649.22</f>
        <v>700.5</v>
      </c>
      <c r="AZ44" s="40">
        <v>678.65</v>
      </c>
      <c r="BA44" s="40">
        <f>20+624.61</f>
        <v>644.61</v>
      </c>
      <c r="BB44" s="40">
        <f>40+699.51</f>
        <v>739.51</v>
      </c>
      <c r="BC44" s="40">
        <f>410.5+649.22</f>
        <v>1059.72</v>
      </c>
      <c r="BD44" s="40">
        <f>20+600+2016.25</f>
        <v>2636.25</v>
      </c>
      <c r="BE44" s="40">
        <f>42.5+683.46-190.68</f>
        <v>535.28</v>
      </c>
      <c r="BF44" s="40">
        <f>655.11-3350</f>
        <v>-2694.89</v>
      </c>
      <c r="BG44" s="40">
        <f>20.96+766.92</f>
        <v>787.88</v>
      </c>
      <c r="BH44" s="40">
        <f>20-200+718.77</f>
        <v>538.77</v>
      </c>
      <c r="BI44" s="40">
        <f>200+600</f>
        <v>800</v>
      </c>
      <c r="BJ44" s="40">
        <f>20+600</f>
        <v>620</v>
      </c>
      <c r="BK44" s="40">
        <f>40+642.12</f>
        <v>682.12</v>
      </c>
      <c r="BL44" s="40">
        <v>600</v>
      </c>
      <c r="BM44" s="48">
        <f>20+453.9</f>
        <v>473.9</v>
      </c>
      <c r="BN44" s="48">
        <f>72.4+600</f>
        <v>672.4</v>
      </c>
      <c r="BO44" s="40">
        <f>718.8-100+150</f>
        <v>768.8</v>
      </c>
      <c r="BP44" s="40">
        <f>40+11.99+600+100-1250</f>
        <v>-498.01</v>
      </c>
      <c r="BQ44" s="47">
        <f>20+962.88+3946.88</f>
        <v>4929.76</v>
      </c>
      <c r="BR44" s="48">
        <f>20+600+80-200</f>
        <v>500</v>
      </c>
      <c r="BS44" s="48">
        <f>20+847.78-800</f>
        <v>67.779999999999973</v>
      </c>
      <c r="BT44" s="48">
        <f>27.97+769.02</f>
        <v>796.99</v>
      </c>
      <c r="BU44" s="47">
        <f>20+600</f>
        <v>620</v>
      </c>
      <c r="BV44" s="40">
        <f>300+24.84+300+20</f>
        <v>644.83999999999992</v>
      </c>
      <c r="BW44" s="40">
        <f>20+683.95</f>
        <v>703.95</v>
      </c>
      <c r="BX44" s="40">
        <f>20+600</f>
        <v>620</v>
      </c>
      <c r="BY44" s="40">
        <f>20+665.55</f>
        <v>685.55</v>
      </c>
      <c r="BZ44" s="48">
        <f>35.1+640.83</f>
        <v>675.93000000000006</v>
      </c>
      <c r="CA44" s="48">
        <f>20+150+666.7-200</f>
        <v>636.70000000000005</v>
      </c>
      <c r="CB44" s="40">
        <f>20+736.28+105+11.15</f>
        <v>872.43</v>
      </c>
      <c r="CC44" s="40">
        <f>75.01+746.25+1465.14</f>
        <v>2286.4</v>
      </c>
      <c r="CD44" s="47">
        <f>20+600-650</f>
        <v>-30</v>
      </c>
      <c r="CE44" s="48">
        <f>20+250+946.73</f>
        <v>1216.73</v>
      </c>
      <c r="CF44" s="48">
        <f>20+31.71+899.58</f>
        <v>951.29000000000008</v>
      </c>
      <c r="CG44" s="48">
        <f>20+600</f>
        <v>620</v>
      </c>
      <c r="CH44" s="40">
        <f>600.63+20</f>
        <v>620.63</v>
      </c>
      <c r="CI44" s="40">
        <f>189.88+609.2</f>
        <v>799.08</v>
      </c>
      <c r="CJ44" s="40">
        <f>500+114.08</f>
        <v>614.08000000000004</v>
      </c>
      <c r="CK44" s="47">
        <f>20+112.76+646.72</f>
        <v>779.48</v>
      </c>
      <c r="CL44" s="40">
        <f>439.54+655.68+100</f>
        <v>1195.22</v>
      </c>
      <c r="CM44" s="40">
        <f>17.5+500</f>
        <v>517.5</v>
      </c>
      <c r="CN44" s="40">
        <f>17.5+810.8+2400</f>
        <v>3228.3</v>
      </c>
      <c r="CO44" s="40">
        <f>20.68+707.2</f>
        <v>727.88</v>
      </c>
      <c r="CP44" s="40">
        <f>52.24+591.14+260</f>
        <v>903.38</v>
      </c>
      <c r="CQ44" s="40">
        <f>329.37+67.9+801.28</f>
        <v>1198.55</v>
      </c>
      <c r="CR44" s="40">
        <f>344.82+929.52</f>
        <v>1274.3399999999999</v>
      </c>
      <c r="CS44" s="48">
        <f>389.67+569.44+300</f>
        <v>1259.1100000000001</v>
      </c>
      <c r="CT44" s="40">
        <f>666.54-90-13.88</f>
        <v>562.66</v>
      </c>
      <c r="CU44" s="40">
        <f>208.72+695.49</f>
        <v>904.21</v>
      </c>
      <c r="CV44" s="40">
        <f>460.35-64.84+575.71</f>
        <v>971.22</v>
      </c>
      <c r="CW44" s="40">
        <f>7.5+818.66</f>
        <v>826.16</v>
      </c>
      <c r="CX44" s="47">
        <f>311.44+719.22</f>
        <v>1030.6600000000001</v>
      </c>
      <c r="CY44" s="40">
        <f>107.5+150+500</f>
        <v>757.5</v>
      </c>
      <c r="CZ44" s="40">
        <v>7.5</v>
      </c>
      <c r="DA44" s="40">
        <v>22.91</v>
      </c>
      <c r="DB44" s="40">
        <f>74.62+29.43+430</f>
        <v>534.04999999999995</v>
      </c>
      <c r="DC44" s="40">
        <v>125.02</v>
      </c>
      <c r="DD44" s="40">
        <f>7.5-330</f>
        <v>-322.5</v>
      </c>
      <c r="DE44" s="40">
        <f>214.69+2735.49</f>
        <v>2950.18</v>
      </c>
      <c r="DF44" s="40">
        <f>45.2+14.13+14.13+7.5+27.22</f>
        <v>108.18</v>
      </c>
      <c r="DG44" s="40">
        <v>194.59</v>
      </c>
      <c r="DH44" s="40">
        <v>148.74</v>
      </c>
      <c r="DI44" s="40">
        <v>7.5</v>
      </c>
      <c r="DJ44" s="40">
        <f>90.75+200</f>
        <v>290.75</v>
      </c>
      <c r="DK44" s="40">
        <f>132.5+3000+659.92</f>
        <v>3792.42</v>
      </c>
      <c r="DL44" s="40">
        <f>7.5-60+270</f>
        <v>217.5</v>
      </c>
      <c r="DM44" s="40">
        <v>472.5</v>
      </c>
      <c r="DN44" s="40">
        <f>-451.38-7.5</f>
        <v>-458.88</v>
      </c>
      <c r="DO44" s="40">
        <v>463.71</v>
      </c>
      <c r="DP44" s="40">
        <f>460.25-230</f>
        <v>230.25</v>
      </c>
      <c r="DQ44" s="40">
        <f>7.5+300-394.89</f>
        <v>-87.389999999999986</v>
      </c>
      <c r="DR44" s="40">
        <v>44.86</v>
      </c>
      <c r="DS44" s="40">
        <v>311.12</v>
      </c>
      <c r="DT44" s="40">
        <v>7.5</v>
      </c>
      <c r="DU44" s="40">
        <f>7.5-1846</f>
        <v>-1838.5</v>
      </c>
      <c r="DV44" s="40">
        <f>304.52+69.28+1801.79</f>
        <v>2175.59</v>
      </c>
      <c r="DW44" s="40">
        <f>32.47+75+1800</f>
        <v>1907.47</v>
      </c>
      <c r="DX44" s="40">
        <f>7.5+1250</f>
        <v>1257.5</v>
      </c>
      <c r="DY44" s="40">
        <v>370</v>
      </c>
      <c r="DZ44" s="40">
        <v>7.5</v>
      </c>
      <c r="EA44" s="40">
        <f>384.83+7.5</f>
        <v>392.33</v>
      </c>
      <c r="EB44" s="40">
        <f>90.78+7.5+735.25</f>
        <v>833.53</v>
      </c>
      <c r="EC44" s="40">
        <f>308.25+7.5</f>
        <v>315.75</v>
      </c>
      <c r="ED44" s="40">
        <v>362.52</v>
      </c>
      <c r="EE44" s="40">
        <v>7.5</v>
      </c>
      <c r="EF44" s="40">
        <v>299.75</v>
      </c>
      <c r="EG44" s="40">
        <v>2114.16</v>
      </c>
      <c r="EH44" s="40">
        <v>45.83</v>
      </c>
      <c r="EI44" s="40">
        <v>59.88</v>
      </c>
      <c r="EJ44" s="40">
        <v>7.5</v>
      </c>
      <c r="EK44" s="40">
        <v>169.5</v>
      </c>
      <c r="EL44" s="40">
        <v>279.58999999999997</v>
      </c>
      <c r="EM44" s="40">
        <v>6277.45</v>
      </c>
      <c r="EN44" s="40">
        <v>-4000.84</v>
      </c>
      <c r="EO44" s="40">
        <v>26.5</v>
      </c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x14ac:dyDescent="0.25">
      <c r="A45" s="41" t="s">
        <v>193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f t="shared" si="27"/>
        <v>0</v>
      </c>
      <c r="AA45" s="59">
        <v>500</v>
      </c>
      <c r="AB45" s="60">
        <v>500</v>
      </c>
      <c r="AC45" s="40" t="s">
        <v>4</v>
      </c>
      <c r="AD45" s="40">
        <f t="shared" si="28"/>
        <v>0</v>
      </c>
      <c r="AE45" s="40">
        <f>+AI45/12*A108</f>
        <v>500</v>
      </c>
      <c r="AF45" s="40">
        <f>+AD45-AE45</f>
        <v>-500</v>
      </c>
      <c r="AG45" s="40">
        <f t="shared" si="25"/>
        <v>0</v>
      </c>
      <c r="AH45" s="40" t="s">
        <v>4</v>
      </c>
      <c r="AI45" s="61">
        <v>500</v>
      </c>
      <c r="AJ45" s="62">
        <f>+AD45/AI45</f>
        <v>0</v>
      </c>
      <c r="AK45" s="62"/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163.12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8">
        <v>0</v>
      </c>
      <c r="BN45" s="48">
        <v>0</v>
      </c>
      <c r="BO45" s="40">
        <v>0</v>
      </c>
      <c r="BP45" s="40">
        <v>0</v>
      </c>
      <c r="BQ45" s="47">
        <v>0</v>
      </c>
      <c r="BR45" s="48">
        <v>0</v>
      </c>
      <c r="BS45" s="48">
        <v>0</v>
      </c>
      <c r="BT45" s="48">
        <v>0</v>
      </c>
      <c r="BU45" s="47">
        <v>0</v>
      </c>
      <c r="BV45" s="40">
        <v>0</v>
      </c>
      <c r="BW45" s="40">
        <v>0</v>
      </c>
      <c r="BX45" s="40">
        <v>0</v>
      </c>
      <c r="BY45" s="40">
        <v>0</v>
      </c>
      <c r="BZ45" s="48">
        <v>0</v>
      </c>
      <c r="CA45" s="48">
        <v>0</v>
      </c>
      <c r="CB45" s="40">
        <v>0</v>
      </c>
      <c r="CC45" s="40">
        <v>0</v>
      </c>
      <c r="CD45" s="47">
        <v>0</v>
      </c>
      <c r="CE45" s="48">
        <v>0</v>
      </c>
      <c r="CF45" s="48">
        <v>0</v>
      </c>
      <c r="CG45" s="48">
        <v>0</v>
      </c>
      <c r="CH45" s="40">
        <v>0</v>
      </c>
      <c r="CI45" s="40">
        <v>0</v>
      </c>
      <c r="CJ45" s="40">
        <v>0</v>
      </c>
      <c r="CK45" s="47">
        <v>0</v>
      </c>
      <c r="CL45" s="40">
        <v>0</v>
      </c>
      <c r="CM45" s="40">
        <v>0</v>
      </c>
      <c r="CN45" s="40">
        <v>0</v>
      </c>
      <c r="CO45" s="40">
        <v>0</v>
      </c>
      <c r="CP45" s="40">
        <v>0</v>
      </c>
      <c r="CQ45" s="40">
        <v>0</v>
      </c>
      <c r="CR45" s="40">
        <v>0</v>
      </c>
      <c r="CS45" s="48">
        <v>0</v>
      </c>
      <c r="CT45" s="40">
        <v>0</v>
      </c>
      <c r="CU45" s="40">
        <v>0</v>
      </c>
      <c r="CV45" s="40">
        <v>0</v>
      </c>
      <c r="CW45" s="40">
        <v>0</v>
      </c>
      <c r="CX45" s="47">
        <v>0</v>
      </c>
      <c r="CY45" s="40">
        <v>0</v>
      </c>
      <c r="CZ45" s="40">
        <v>0</v>
      </c>
      <c r="DA45" s="40">
        <v>0</v>
      </c>
      <c r="DB45" s="40">
        <v>0</v>
      </c>
      <c r="DC45" s="40">
        <v>0</v>
      </c>
      <c r="DD45" s="40">
        <v>0</v>
      </c>
      <c r="DE45" s="40">
        <v>0</v>
      </c>
      <c r="DF45" s="40">
        <v>0</v>
      </c>
      <c r="DG45" s="40">
        <v>0</v>
      </c>
      <c r="DH45" s="40">
        <v>0</v>
      </c>
      <c r="DI45" s="40">
        <v>0</v>
      </c>
      <c r="DJ45" s="40">
        <v>0</v>
      </c>
      <c r="DK45" s="40">
        <v>0</v>
      </c>
      <c r="DL45" s="40">
        <v>0</v>
      </c>
      <c r="DM45" s="40">
        <v>0</v>
      </c>
      <c r="DN45" s="40">
        <v>0</v>
      </c>
      <c r="DO45" s="40">
        <v>0</v>
      </c>
      <c r="DP45" s="40">
        <v>0</v>
      </c>
      <c r="DQ45" s="40">
        <v>0</v>
      </c>
      <c r="DR45" s="40">
        <v>0</v>
      </c>
      <c r="DS45" s="40">
        <v>0</v>
      </c>
      <c r="DT45" s="40">
        <v>0</v>
      </c>
      <c r="DU45" s="40">
        <v>0</v>
      </c>
      <c r="DV45" s="40">
        <v>0</v>
      </c>
      <c r="DW45" s="40">
        <v>0</v>
      </c>
      <c r="DX45" s="40">
        <v>0</v>
      </c>
      <c r="DY45" s="40">
        <v>0</v>
      </c>
      <c r="DZ45" s="40">
        <v>0</v>
      </c>
      <c r="EA45" s="40">
        <v>0</v>
      </c>
      <c r="EB45" s="40">
        <v>0</v>
      </c>
      <c r="EC45" s="40">
        <v>0</v>
      </c>
      <c r="ED45" s="40">
        <v>0</v>
      </c>
      <c r="EE45" s="40">
        <v>0</v>
      </c>
      <c r="EF45" s="40">
        <v>0</v>
      </c>
      <c r="EG45" s="40">
        <v>0</v>
      </c>
      <c r="EH45" s="40">
        <v>0</v>
      </c>
      <c r="EI45" s="40">
        <v>0</v>
      </c>
      <c r="EJ45" s="40">
        <v>0</v>
      </c>
      <c r="EK45" s="40">
        <v>0</v>
      </c>
      <c r="EL45" s="40">
        <v>0</v>
      </c>
      <c r="EM45" s="40">
        <v>0</v>
      </c>
      <c r="EN45" s="40">
        <v>0</v>
      </c>
      <c r="EO45" s="40">
        <v>0</v>
      </c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</row>
    <row r="46" spans="1:255" x14ac:dyDescent="0.25">
      <c r="A46" s="75" t="s">
        <v>194</v>
      </c>
      <c r="B46" s="76">
        <v>0</v>
      </c>
      <c r="C46" s="76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f t="shared" si="27"/>
        <v>0</v>
      </c>
      <c r="AA46" s="59">
        <v>500</v>
      </c>
      <c r="AB46" s="60">
        <v>500</v>
      </c>
      <c r="AC46" s="40" t="s">
        <v>4</v>
      </c>
      <c r="AD46" s="40">
        <f t="shared" si="28"/>
        <v>0</v>
      </c>
      <c r="AE46" s="40">
        <f>+AI46/12*A108</f>
        <v>500</v>
      </c>
      <c r="AF46" s="40">
        <f>+AD46-AE46</f>
        <v>-500</v>
      </c>
      <c r="AG46" s="40">
        <f t="shared" si="25"/>
        <v>0</v>
      </c>
      <c r="AH46" s="40" t="s">
        <v>4</v>
      </c>
      <c r="AI46" s="61">
        <v>500</v>
      </c>
      <c r="AJ46" s="62">
        <f>+AD46/AI46</f>
        <v>0</v>
      </c>
      <c r="AK46" s="62"/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76">
        <v>0</v>
      </c>
      <c r="AW46" s="76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77">
        <v>0</v>
      </c>
      <c r="BJ46" s="40">
        <v>0</v>
      </c>
      <c r="BK46" s="40">
        <v>0</v>
      </c>
      <c r="BL46" s="40">
        <v>0</v>
      </c>
      <c r="BM46" s="48">
        <v>0</v>
      </c>
      <c r="BN46" s="48">
        <v>0</v>
      </c>
      <c r="BO46" s="40">
        <v>0</v>
      </c>
      <c r="BP46" s="40">
        <v>0</v>
      </c>
      <c r="BQ46" s="47">
        <v>0</v>
      </c>
      <c r="BR46" s="48">
        <v>0</v>
      </c>
      <c r="BS46" s="48">
        <v>0</v>
      </c>
      <c r="BT46" s="48">
        <v>0</v>
      </c>
      <c r="BU46" s="77">
        <v>0</v>
      </c>
      <c r="BV46" s="40">
        <v>0</v>
      </c>
      <c r="BW46" s="40">
        <v>0</v>
      </c>
      <c r="BX46" s="40">
        <v>0</v>
      </c>
      <c r="BY46" s="40">
        <v>0</v>
      </c>
      <c r="BZ46" s="48">
        <v>0</v>
      </c>
      <c r="CA46" s="48">
        <v>0</v>
      </c>
      <c r="CB46" s="40">
        <v>0</v>
      </c>
      <c r="CC46" s="40">
        <v>0</v>
      </c>
      <c r="CD46" s="47">
        <v>0</v>
      </c>
      <c r="CE46" s="48">
        <v>0</v>
      </c>
      <c r="CF46" s="48">
        <v>0</v>
      </c>
      <c r="CG46" s="48">
        <v>0</v>
      </c>
      <c r="CH46" s="40">
        <v>0</v>
      </c>
      <c r="CI46" s="40">
        <v>0</v>
      </c>
      <c r="CJ46" s="40">
        <v>0</v>
      </c>
      <c r="CK46" s="47">
        <v>0</v>
      </c>
      <c r="CL46" s="40">
        <v>0</v>
      </c>
      <c r="CM46" s="40">
        <v>0</v>
      </c>
      <c r="CN46" s="40">
        <v>0</v>
      </c>
      <c r="CO46" s="40">
        <v>0</v>
      </c>
      <c r="CP46" s="40">
        <v>0</v>
      </c>
      <c r="CQ46" s="40">
        <v>0</v>
      </c>
      <c r="CR46" s="40">
        <v>0</v>
      </c>
      <c r="CS46" s="48">
        <v>0</v>
      </c>
      <c r="CT46" s="40">
        <v>0</v>
      </c>
      <c r="CU46" s="40">
        <v>0</v>
      </c>
      <c r="CV46" s="40">
        <v>0</v>
      </c>
      <c r="CW46" s="40">
        <v>0</v>
      </c>
      <c r="CX46" s="47">
        <v>0</v>
      </c>
      <c r="CY46" s="40">
        <v>0</v>
      </c>
      <c r="CZ46" s="40">
        <v>0</v>
      </c>
      <c r="DA46" s="40">
        <v>0</v>
      </c>
      <c r="DB46" s="40">
        <v>0</v>
      </c>
      <c r="DC46" s="40">
        <v>0</v>
      </c>
      <c r="DD46" s="40">
        <v>0</v>
      </c>
      <c r="DE46" s="40">
        <v>0</v>
      </c>
      <c r="DF46" s="40">
        <v>0</v>
      </c>
      <c r="DG46" s="40">
        <v>0</v>
      </c>
      <c r="DH46" s="40">
        <v>0</v>
      </c>
      <c r="DI46" s="40">
        <v>0</v>
      </c>
      <c r="DJ46" s="40">
        <v>0</v>
      </c>
      <c r="DK46" s="40">
        <v>0</v>
      </c>
      <c r="DL46" s="40">
        <v>0</v>
      </c>
      <c r="DM46" s="40">
        <v>0</v>
      </c>
      <c r="DN46" s="40">
        <v>0</v>
      </c>
      <c r="DO46" s="40">
        <v>0</v>
      </c>
      <c r="DP46" s="40">
        <v>0</v>
      </c>
      <c r="DQ46" s="40">
        <v>0</v>
      </c>
      <c r="DR46" s="40">
        <v>0</v>
      </c>
      <c r="DS46" s="40">
        <v>0</v>
      </c>
      <c r="DT46" s="40">
        <v>0</v>
      </c>
      <c r="DU46" s="40">
        <v>0</v>
      </c>
      <c r="DV46" s="40">
        <v>0</v>
      </c>
      <c r="DW46" s="40">
        <v>0</v>
      </c>
      <c r="DX46" s="40">
        <v>0</v>
      </c>
      <c r="DY46" s="40">
        <v>0</v>
      </c>
      <c r="DZ46" s="40">
        <v>0</v>
      </c>
      <c r="EA46" s="40">
        <v>0</v>
      </c>
      <c r="EB46" s="40">
        <v>0</v>
      </c>
      <c r="EC46" s="40">
        <v>0</v>
      </c>
      <c r="ED46" s="40">
        <v>0</v>
      </c>
      <c r="EE46" s="40">
        <v>0</v>
      </c>
      <c r="EF46" s="40">
        <v>0</v>
      </c>
      <c r="EG46" s="40">
        <v>0</v>
      </c>
      <c r="EH46" s="40">
        <v>0</v>
      </c>
      <c r="EI46" s="40">
        <v>0</v>
      </c>
      <c r="EJ46" s="40">
        <v>0</v>
      </c>
      <c r="EK46" s="40">
        <v>0</v>
      </c>
      <c r="EL46" s="40">
        <v>0</v>
      </c>
      <c r="EM46" s="40">
        <v>0</v>
      </c>
      <c r="EN46" s="40">
        <v>0</v>
      </c>
      <c r="EO46" s="40">
        <v>0</v>
      </c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</row>
    <row r="47" spans="1:255" hidden="1" x14ac:dyDescent="0.25">
      <c r="A47" s="41" t="s">
        <v>195</v>
      </c>
      <c r="V47" s="40">
        <v>0</v>
      </c>
      <c r="Z47" s="40">
        <f t="shared" si="27"/>
        <v>0</v>
      </c>
      <c r="AA47" s="59"/>
      <c r="AB47" s="60"/>
      <c r="AC47" s="40" t="s">
        <v>4</v>
      </c>
      <c r="AD47" s="40">
        <f t="shared" si="28"/>
        <v>0</v>
      </c>
      <c r="AE47" s="40">
        <f>+AI47/12*A108</f>
        <v>0</v>
      </c>
      <c r="AF47" s="40">
        <f>+AD47-AE47</f>
        <v>0</v>
      </c>
      <c r="AG47" s="40">
        <f t="shared" si="25"/>
        <v>0</v>
      </c>
      <c r="AH47" s="40" t="s">
        <v>4</v>
      </c>
      <c r="AI47" s="61">
        <v>0</v>
      </c>
      <c r="AJ47" s="62" t="s">
        <v>157</v>
      </c>
      <c r="AK47" s="62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K47" s="40"/>
      <c r="BL47" s="40"/>
      <c r="BM47" s="48"/>
      <c r="BN47" s="48"/>
      <c r="BP47" s="40"/>
      <c r="BQ47" s="47"/>
      <c r="BR47" s="48"/>
      <c r="BS47" s="48"/>
      <c r="BT47" s="48"/>
      <c r="BU47" s="47"/>
      <c r="BV47" s="40">
        <v>0</v>
      </c>
      <c r="BX47" s="64"/>
      <c r="BY47" s="40">
        <v>0</v>
      </c>
      <c r="BZ47" s="48">
        <v>0</v>
      </c>
      <c r="CA47" s="48">
        <v>0</v>
      </c>
      <c r="CC47" s="40">
        <v>0</v>
      </c>
      <c r="CD47" s="47">
        <v>0</v>
      </c>
      <c r="CE47" s="48">
        <v>0</v>
      </c>
      <c r="CF47" s="48"/>
      <c r="CG47" s="48"/>
      <c r="CH47" s="40"/>
      <c r="CI47" s="64"/>
      <c r="CJ47" s="64"/>
      <c r="CK47" s="78"/>
      <c r="CL47" s="40"/>
      <c r="CM47" s="40"/>
      <c r="CN47" s="40"/>
      <c r="CO47" s="40"/>
      <c r="CP47" s="40"/>
      <c r="CQ47" s="40"/>
      <c r="CR47" s="40"/>
      <c r="CS47" s="48"/>
      <c r="CT47" s="40"/>
      <c r="CU47" s="64"/>
      <c r="CV47" s="64"/>
      <c r="CW47" s="64"/>
      <c r="CX47" s="78"/>
      <c r="CY47" s="40"/>
      <c r="CZ47" s="64"/>
      <c r="DA47" s="40"/>
      <c r="DB47" s="40"/>
      <c r="DC47" s="40"/>
      <c r="DD47" s="40"/>
      <c r="DE47" s="40"/>
      <c r="DF47" s="40">
        <v>0</v>
      </c>
      <c r="DG47" s="64">
        <v>0</v>
      </c>
      <c r="DH47" s="64">
        <v>0</v>
      </c>
      <c r="DI47" s="64">
        <v>0</v>
      </c>
      <c r="DJ47" s="64">
        <v>0</v>
      </c>
      <c r="DK47" s="40">
        <v>0</v>
      </c>
      <c r="DL47" s="64">
        <v>0</v>
      </c>
      <c r="DM47" s="40">
        <v>0</v>
      </c>
      <c r="DN47" s="40">
        <v>0</v>
      </c>
      <c r="DO47" s="40">
        <v>0</v>
      </c>
      <c r="DP47" s="64">
        <v>0</v>
      </c>
      <c r="DQ47" s="40">
        <v>0</v>
      </c>
      <c r="DR47" s="64">
        <v>1578.59</v>
      </c>
      <c r="DS47" s="64">
        <v>0</v>
      </c>
      <c r="DT47" s="64">
        <v>1209.18</v>
      </c>
      <c r="DU47" s="64">
        <v>0</v>
      </c>
      <c r="DV47" s="64">
        <v>0</v>
      </c>
      <c r="DW47" s="64">
        <v>1147.22</v>
      </c>
      <c r="DX47" s="64">
        <v>0</v>
      </c>
      <c r="DY47" s="64">
        <v>0</v>
      </c>
      <c r="DZ47" s="64">
        <v>604.65</v>
      </c>
      <c r="EA47" s="64">
        <v>0</v>
      </c>
      <c r="EB47" s="64">
        <v>0</v>
      </c>
      <c r="EC47" s="64">
        <v>1200.7</v>
      </c>
      <c r="ED47" s="64">
        <v>0</v>
      </c>
      <c r="EE47" s="64">
        <v>0</v>
      </c>
      <c r="EF47" s="64">
        <v>1499.1</v>
      </c>
      <c r="EG47" s="64">
        <v>0</v>
      </c>
      <c r="EH47" s="64">
        <v>0</v>
      </c>
      <c r="EI47" s="64">
        <v>0</v>
      </c>
      <c r="EJ47" s="64">
        <v>0</v>
      </c>
      <c r="EK47" s="64">
        <v>1337.2</v>
      </c>
      <c r="EL47" s="64">
        <v>0</v>
      </c>
      <c r="EM47" s="64">
        <v>0</v>
      </c>
      <c r="EN47" s="64">
        <v>1796.39</v>
      </c>
      <c r="EO47" s="64">
        <v>0</v>
      </c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</row>
    <row r="48" spans="1:255" x14ac:dyDescent="0.25">
      <c r="A48" s="41" t="s">
        <v>196</v>
      </c>
      <c r="B48" s="40">
        <v>1435.77</v>
      </c>
      <c r="C48" s="40">
        <v>1012.73</v>
      </c>
      <c r="D48" s="40">
        <v>20</v>
      </c>
      <c r="E48" s="40">
        <v>1415.51</v>
      </c>
      <c r="F48" s="40">
        <v>25</v>
      </c>
      <c r="G48" s="40">
        <v>137.28</v>
      </c>
      <c r="H48" s="40">
        <v>23.15</v>
      </c>
      <c r="I48" s="40">
        <v>664.17</v>
      </c>
      <c r="J48" s="40">
        <v>402.35</v>
      </c>
      <c r="K48" s="40">
        <v>1050</v>
      </c>
      <c r="L48" s="40">
        <v>23.15</v>
      </c>
      <c r="M48" s="40">
        <v>327.06</v>
      </c>
      <c r="N48" s="40">
        <v>23.15</v>
      </c>
      <c r="O48" s="40">
        <v>24.07</v>
      </c>
      <c r="P48" s="40">
        <v>265.26</v>
      </c>
      <c r="Q48" s="40">
        <v>1214.4100000000001</v>
      </c>
      <c r="R48" s="40">
        <v>30.67</v>
      </c>
      <c r="S48" s="40">
        <v>290.11</v>
      </c>
      <c r="T48" s="40">
        <v>33.85</v>
      </c>
      <c r="U48" s="40">
        <v>0</v>
      </c>
      <c r="V48" s="40">
        <v>773.51</v>
      </c>
      <c r="W48" s="40">
        <v>984.25</v>
      </c>
      <c r="X48" s="40">
        <v>30</v>
      </c>
      <c r="Y48" s="40">
        <v>461.03</v>
      </c>
      <c r="Z48" s="40">
        <f t="shared" si="27"/>
        <v>-431.03</v>
      </c>
      <c r="AA48" s="59">
        <v>10000</v>
      </c>
      <c r="AB48" s="60">
        <v>10000</v>
      </c>
      <c r="AC48" s="40" t="s">
        <v>4</v>
      </c>
      <c r="AD48" s="40">
        <f t="shared" si="28"/>
        <v>3085.8599999999997</v>
      </c>
      <c r="AE48" s="64">
        <f>+AI48/12*A108</f>
        <v>10000</v>
      </c>
      <c r="AF48" s="64">
        <f>+AD48-AE48</f>
        <v>-6914.14</v>
      </c>
      <c r="AG48" s="40">
        <f t="shared" si="25"/>
        <v>7580.62</v>
      </c>
      <c r="AH48" s="40" t="s">
        <v>4</v>
      </c>
      <c r="AI48" s="63">
        <v>10000</v>
      </c>
      <c r="AJ48" s="62">
        <f>+AD48/AI48</f>
        <v>0.30858599999999997</v>
      </c>
      <c r="AK48" s="62"/>
      <c r="AL48" s="40">
        <v>25</v>
      </c>
      <c r="AM48" s="40">
        <v>854.77</v>
      </c>
      <c r="AN48" s="40">
        <v>25</v>
      </c>
      <c r="AO48" s="40">
        <v>1035.4100000000001</v>
      </c>
      <c r="AP48" s="40">
        <v>1080.95</v>
      </c>
      <c r="AQ48" s="40">
        <v>25</v>
      </c>
      <c r="AR48" s="40">
        <v>614.62</v>
      </c>
      <c r="AS48" s="40">
        <v>200.66</v>
      </c>
      <c r="AT48" s="40">
        <v>131.41</v>
      </c>
      <c r="AU48" s="40">
        <v>25</v>
      </c>
      <c r="AV48" s="40">
        <v>820.81</v>
      </c>
      <c r="AW48" s="40">
        <v>826.06</v>
      </c>
      <c r="AX48" s="40">
        <v>1193.17</v>
      </c>
      <c r="AY48" s="40">
        <v>1000.6</v>
      </c>
      <c r="AZ48" s="40">
        <v>582.79999999999995</v>
      </c>
      <c r="BA48" s="40">
        <v>1152.58</v>
      </c>
      <c r="BB48" s="40">
        <v>869.27</v>
      </c>
      <c r="BC48" s="40">
        <v>693.9</v>
      </c>
      <c r="BD48" s="40">
        <v>1195.53</v>
      </c>
      <c r="BE48" s="40">
        <v>1138.0999999999999</v>
      </c>
      <c r="BF48" s="40">
        <v>1677.79</v>
      </c>
      <c r="BG48" s="40">
        <v>230.91</v>
      </c>
      <c r="BH48" s="40">
        <v>271.89999999999998</v>
      </c>
      <c r="BI48" s="40">
        <v>542.30999999999995</v>
      </c>
      <c r="BJ48" s="47">
        <v>171.32</v>
      </c>
      <c r="BK48" s="47">
        <v>195</v>
      </c>
      <c r="BL48" s="40">
        <v>1276.68</v>
      </c>
      <c r="BM48" s="48">
        <v>893.86</v>
      </c>
      <c r="BN48" s="48">
        <v>1308.74</v>
      </c>
      <c r="BO48" s="40">
        <v>871.85</v>
      </c>
      <c r="BP48" s="40">
        <v>1713.4</v>
      </c>
      <c r="BQ48" s="47">
        <v>827.6</v>
      </c>
      <c r="BR48" s="48">
        <v>1443.9</v>
      </c>
      <c r="BS48" s="48">
        <v>612.67999999999995</v>
      </c>
      <c r="BT48" s="48">
        <v>674.24</v>
      </c>
      <c r="BU48" s="47">
        <v>1648.56</v>
      </c>
      <c r="BV48" s="40">
        <f>594.77+500+20</f>
        <v>1114.77</v>
      </c>
      <c r="BW48" s="47">
        <v>1230.75</v>
      </c>
      <c r="BX48" s="78">
        <v>1462.31</v>
      </c>
      <c r="BY48" s="40">
        <v>1474.05</v>
      </c>
      <c r="BZ48" s="48">
        <v>1014.85</v>
      </c>
      <c r="CA48" s="48">
        <v>930.07</v>
      </c>
      <c r="CB48" s="40">
        <v>1344.36</v>
      </c>
      <c r="CC48" s="40">
        <v>910.28</v>
      </c>
      <c r="CD48" s="47">
        <v>924.92</v>
      </c>
      <c r="CE48" s="48">
        <v>1186.73</v>
      </c>
      <c r="CF48" s="48">
        <v>987.9</v>
      </c>
      <c r="CG48" s="48">
        <v>834.95</v>
      </c>
      <c r="CH48" s="47">
        <v>952.25</v>
      </c>
      <c r="CI48" s="78">
        <v>779.92</v>
      </c>
      <c r="CJ48" s="78">
        <v>1450.58</v>
      </c>
      <c r="CK48" s="78">
        <v>1200.3800000000001</v>
      </c>
      <c r="CL48" s="64">
        <v>1294.58</v>
      </c>
      <c r="CM48" s="64">
        <v>990.14</v>
      </c>
      <c r="CN48" s="40">
        <v>1092.23</v>
      </c>
      <c r="CO48" s="40">
        <v>1315.4</v>
      </c>
      <c r="CP48" s="40">
        <v>925.46</v>
      </c>
      <c r="CQ48" s="40">
        <v>1195.94</v>
      </c>
      <c r="CR48" s="40">
        <f>1459.95</f>
        <v>1459.95</v>
      </c>
      <c r="CS48" s="48">
        <v>500</v>
      </c>
      <c r="CT48" s="40">
        <f>254.68-43.6+500+500+500+500+500+921.54</f>
        <v>3632.62</v>
      </c>
      <c r="CU48" s="78">
        <v>720.46</v>
      </c>
      <c r="CV48" s="78">
        <v>672.44</v>
      </c>
      <c r="CW48" s="78">
        <v>412.16</v>
      </c>
      <c r="CX48" s="78">
        <v>711.09</v>
      </c>
      <c r="CY48" s="64">
        <v>872.07</v>
      </c>
      <c r="CZ48" s="64">
        <v>1130.3800000000001</v>
      </c>
      <c r="DA48" s="40">
        <v>1812.26</v>
      </c>
      <c r="DB48" s="64">
        <v>1553.28</v>
      </c>
      <c r="DC48" s="40">
        <v>1168.02</v>
      </c>
      <c r="DD48" s="40">
        <f>1668.66-626.88</f>
        <v>1041.7800000000002</v>
      </c>
      <c r="DE48" s="40">
        <f>695+548.44+30</f>
        <v>1273.44</v>
      </c>
      <c r="DF48" s="40">
        <v>0</v>
      </c>
      <c r="DG48" s="78">
        <v>0</v>
      </c>
      <c r="DH48" s="78">
        <v>0</v>
      </c>
      <c r="DI48" s="78">
        <v>0</v>
      </c>
      <c r="DJ48" s="78">
        <v>0</v>
      </c>
      <c r="DK48" s="64">
        <v>0</v>
      </c>
      <c r="DL48" s="64">
        <v>0</v>
      </c>
      <c r="DM48" s="64">
        <v>0</v>
      </c>
      <c r="DN48" s="64">
        <v>0</v>
      </c>
      <c r="DO48" s="40">
        <v>0</v>
      </c>
      <c r="DP48" s="40">
        <v>0</v>
      </c>
      <c r="DQ48" s="40">
        <v>0</v>
      </c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</row>
    <row r="49" spans="1:255" s="101" customFormat="1" ht="15.6" x14ac:dyDescent="0.3">
      <c r="A49" s="92" t="s">
        <v>197</v>
      </c>
      <c r="B49" s="93">
        <f>SUM(B36:B48)</f>
        <v>3671.96</v>
      </c>
      <c r="C49" s="93">
        <f>SUM(C36:C48)</f>
        <v>4997.8500000000004</v>
      </c>
      <c r="D49" s="93">
        <f t="shared" ref="D49:Z49" si="29">SUM(D36:D48)</f>
        <v>3276.05</v>
      </c>
      <c r="E49" s="93">
        <f>SUM(E36:E48)</f>
        <v>3684.09</v>
      </c>
      <c r="F49" s="93">
        <f t="shared" si="29"/>
        <v>1235.21</v>
      </c>
      <c r="G49" s="93">
        <f>SUM(G36:G48)</f>
        <v>2217.5700000000002</v>
      </c>
      <c r="H49" s="93">
        <f t="shared" si="29"/>
        <v>1299.1600000000001</v>
      </c>
      <c r="I49" s="93">
        <f>SUM(I36:I48)</f>
        <v>5374.0300000000007</v>
      </c>
      <c r="J49" s="93">
        <f t="shared" si="29"/>
        <v>1700.5499999999997</v>
      </c>
      <c r="K49" s="93">
        <f>SUM(K36:K48)</f>
        <v>2799.3</v>
      </c>
      <c r="L49" s="93">
        <f t="shared" si="29"/>
        <v>2609.65</v>
      </c>
      <c r="M49" s="93">
        <f>SUM(M36:M48)</f>
        <v>5658.91</v>
      </c>
      <c r="N49" s="93">
        <f t="shared" si="29"/>
        <v>1306.5300000000002</v>
      </c>
      <c r="O49" s="93">
        <f>SUM(O36:O48)</f>
        <v>1830.6000000000001</v>
      </c>
      <c r="P49" s="93">
        <f t="shared" si="29"/>
        <v>1339.24</v>
      </c>
      <c r="Q49" s="93">
        <f>SUM(Q36:Q48)</f>
        <v>4248.59</v>
      </c>
      <c r="R49" s="93">
        <f t="shared" si="29"/>
        <v>836.67</v>
      </c>
      <c r="S49" s="93">
        <f>SUM(S36:S48)</f>
        <v>3545.1400000000003</v>
      </c>
      <c r="T49" s="93">
        <f t="shared" si="29"/>
        <v>1098.6499999999999</v>
      </c>
      <c r="U49" s="93">
        <f>SUM(U36:U48)</f>
        <v>4151.74</v>
      </c>
      <c r="V49" s="93">
        <f t="shared" si="29"/>
        <v>1408.53</v>
      </c>
      <c r="W49" s="93">
        <f>SUM(W36:W48)</f>
        <v>3090.34</v>
      </c>
      <c r="X49" s="93">
        <f t="shared" si="29"/>
        <v>658.85</v>
      </c>
      <c r="Y49" s="93">
        <f>SUM(Y36:Y48)</f>
        <v>3769.13</v>
      </c>
      <c r="Z49" s="93">
        <f t="shared" si="29"/>
        <v>-3110.2799999999997</v>
      </c>
      <c r="AA49" s="94">
        <v>46844</v>
      </c>
      <c r="AB49" s="95">
        <v>63550</v>
      </c>
      <c r="AC49" s="96" t="s">
        <v>4</v>
      </c>
      <c r="AD49" s="93">
        <f>SUM(AD36:AD48)</f>
        <v>20441.050000000003</v>
      </c>
      <c r="AE49" s="96">
        <f>SUM(AE36:AE48)</f>
        <v>64752</v>
      </c>
      <c r="AF49" s="96">
        <f>SUM(AF36:AF48)</f>
        <v>-44310.95</v>
      </c>
      <c r="AG49" s="93">
        <f>SUM(AG36:AG48)</f>
        <v>45367.29</v>
      </c>
      <c r="AH49" s="96" t="s">
        <v>4</v>
      </c>
      <c r="AI49" s="97">
        <f>SUM(AI36:AI48)</f>
        <v>64752</v>
      </c>
      <c r="AJ49" s="98">
        <f>+AD49/AI49</f>
        <v>0.31568214109216708</v>
      </c>
      <c r="AK49" s="98"/>
      <c r="AL49" s="93">
        <f t="shared" ref="AL49:CW49" si="30">SUM(AL36:AL48)</f>
        <v>3430.2700000000004</v>
      </c>
      <c r="AM49" s="93">
        <f t="shared" si="30"/>
        <v>6093.75</v>
      </c>
      <c r="AN49" s="93">
        <f t="shared" si="30"/>
        <v>2521.38</v>
      </c>
      <c r="AO49" s="93">
        <f t="shared" si="30"/>
        <v>6881.37</v>
      </c>
      <c r="AP49" s="93">
        <f t="shared" si="30"/>
        <v>5159.62</v>
      </c>
      <c r="AQ49" s="93">
        <f t="shared" si="30"/>
        <v>3255.8900000000003</v>
      </c>
      <c r="AR49" s="93">
        <f t="shared" si="30"/>
        <v>6295.2300000000005</v>
      </c>
      <c r="AS49" s="93">
        <f t="shared" si="30"/>
        <v>-196.45999999999978</v>
      </c>
      <c r="AT49" s="93">
        <f t="shared" si="30"/>
        <v>4281.13</v>
      </c>
      <c r="AU49" s="93">
        <f t="shared" si="30"/>
        <v>5996.2</v>
      </c>
      <c r="AV49" s="93">
        <f t="shared" si="30"/>
        <v>6568.1900000000005</v>
      </c>
      <c r="AW49" s="93">
        <f t="shared" si="30"/>
        <v>3891.3999999999996</v>
      </c>
      <c r="AX49" s="99">
        <f t="shared" si="30"/>
        <v>4439.67</v>
      </c>
      <c r="AY49" s="99">
        <f t="shared" si="30"/>
        <v>4098.5600000000004</v>
      </c>
      <c r="AZ49" s="99">
        <f t="shared" si="30"/>
        <v>3610.5</v>
      </c>
      <c r="BA49" s="99">
        <f t="shared" si="30"/>
        <v>6970.9000000000005</v>
      </c>
      <c r="BB49" s="99">
        <f t="shared" si="30"/>
        <v>5144.2099999999991</v>
      </c>
      <c r="BC49" s="99">
        <f t="shared" si="30"/>
        <v>4653.51</v>
      </c>
      <c r="BD49" s="99">
        <f t="shared" si="30"/>
        <v>5300.3399999999992</v>
      </c>
      <c r="BE49" s="99">
        <f t="shared" si="30"/>
        <v>3361.61</v>
      </c>
      <c r="BF49" s="99">
        <f t="shared" si="30"/>
        <v>3667.7500000000005</v>
      </c>
      <c r="BG49" s="99">
        <f t="shared" si="30"/>
        <v>4361.3099999999995</v>
      </c>
      <c r="BH49" s="99">
        <f t="shared" si="30"/>
        <v>4100.7700000000004</v>
      </c>
      <c r="BI49" s="99">
        <f t="shared" si="30"/>
        <v>1492.85</v>
      </c>
      <c r="BJ49" s="93">
        <f t="shared" si="30"/>
        <v>2678.73</v>
      </c>
      <c r="BK49" s="93">
        <f t="shared" si="30"/>
        <v>1053.45</v>
      </c>
      <c r="BL49" s="93">
        <f t="shared" si="30"/>
        <v>6222.5300000000007</v>
      </c>
      <c r="BM49" s="93">
        <f t="shared" si="30"/>
        <v>2789.63</v>
      </c>
      <c r="BN49" s="93">
        <f t="shared" si="30"/>
        <v>5749.0999999999995</v>
      </c>
      <c r="BO49" s="93">
        <f t="shared" si="30"/>
        <v>3998.9</v>
      </c>
      <c r="BP49" s="93">
        <f t="shared" si="30"/>
        <v>4845.7000000000007</v>
      </c>
      <c r="BQ49" s="93">
        <f t="shared" si="30"/>
        <v>6324.59</v>
      </c>
      <c r="BR49" s="93">
        <f t="shared" si="30"/>
        <v>5918.1</v>
      </c>
      <c r="BS49" s="93">
        <f t="shared" si="30"/>
        <v>4787.7699999999995</v>
      </c>
      <c r="BT49" s="93">
        <f t="shared" si="30"/>
        <v>3542.5999999999995</v>
      </c>
      <c r="BU49" s="99">
        <f t="shared" si="30"/>
        <v>5597.0399999999991</v>
      </c>
      <c r="BV49" s="93">
        <f t="shared" si="30"/>
        <v>1904.61</v>
      </c>
      <c r="BW49" s="93">
        <f t="shared" si="30"/>
        <v>3891.74</v>
      </c>
      <c r="BX49" s="93">
        <f t="shared" si="30"/>
        <v>4370.66</v>
      </c>
      <c r="BY49" s="93">
        <f t="shared" si="30"/>
        <v>4988.29</v>
      </c>
      <c r="BZ49" s="93">
        <f t="shared" si="30"/>
        <v>7750.2700000000013</v>
      </c>
      <c r="CA49" s="93">
        <f t="shared" si="30"/>
        <v>3476.51</v>
      </c>
      <c r="CB49" s="93">
        <f t="shared" si="30"/>
        <v>3423.29</v>
      </c>
      <c r="CC49" s="93">
        <f t="shared" si="30"/>
        <v>4742.3100000000004</v>
      </c>
      <c r="CD49" s="93">
        <f t="shared" si="30"/>
        <v>2642.43</v>
      </c>
      <c r="CE49" s="93">
        <f t="shared" si="30"/>
        <v>3157.05</v>
      </c>
      <c r="CF49" s="93">
        <f t="shared" si="30"/>
        <v>4091.9500000000003</v>
      </c>
      <c r="CG49" s="93">
        <f t="shared" si="30"/>
        <v>5358.95</v>
      </c>
      <c r="CH49" s="93">
        <f t="shared" si="30"/>
        <v>2881.88</v>
      </c>
      <c r="CI49" s="93">
        <f t="shared" si="30"/>
        <v>9787.8100000000013</v>
      </c>
      <c r="CJ49" s="93">
        <f t="shared" si="30"/>
        <v>3214.23</v>
      </c>
      <c r="CK49" s="93">
        <f t="shared" si="30"/>
        <v>8966.5099999999984</v>
      </c>
      <c r="CL49" s="93">
        <f t="shared" si="30"/>
        <v>6447.6799999999994</v>
      </c>
      <c r="CM49" s="93">
        <f t="shared" si="30"/>
        <v>3626.2599999999998</v>
      </c>
      <c r="CN49" s="93">
        <f t="shared" si="30"/>
        <v>6430.93</v>
      </c>
      <c r="CO49" s="93">
        <f t="shared" si="30"/>
        <v>3476.23</v>
      </c>
      <c r="CP49" s="93">
        <f t="shared" si="30"/>
        <v>4596.01</v>
      </c>
      <c r="CQ49" s="93">
        <f t="shared" si="30"/>
        <v>3941.53</v>
      </c>
      <c r="CR49" s="93">
        <f t="shared" si="30"/>
        <v>5118.72</v>
      </c>
      <c r="CS49" s="93">
        <f t="shared" si="30"/>
        <v>4382.6499999999996</v>
      </c>
      <c r="CT49" s="93">
        <f t="shared" si="30"/>
        <v>4747.91</v>
      </c>
      <c r="CU49" s="96">
        <f t="shared" si="30"/>
        <v>4865.8100000000004</v>
      </c>
      <c r="CV49" s="96">
        <f t="shared" si="30"/>
        <v>5698.0300000000007</v>
      </c>
      <c r="CW49" s="96">
        <f t="shared" si="30"/>
        <v>4827.3399999999992</v>
      </c>
      <c r="CX49" s="100">
        <f t="shared" ref="CX49:DQ49" si="31">SUM(CX36:CX48)</f>
        <v>5830.78</v>
      </c>
      <c r="CY49" s="96">
        <f t="shared" si="31"/>
        <v>4603.71</v>
      </c>
      <c r="CZ49" s="96">
        <f t="shared" si="31"/>
        <v>3897.2200000000003</v>
      </c>
      <c r="DA49" s="93">
        <f t="shared" si="31"/>
        <v>2809.9</v>
      </c>
      <c r="DB49" s="96">
        <f t="shared" si="31"/>
        <v>4158.7499999999991</v>
      </c>
      <c r="DC49" s="93">
        <f t="shared" si="31"/>
        <v>12224.960000000001</v>
      </c>
      <c r="DD49" s="93">
        <f t="shared" si="31"/>
        <v>4332.3100000000004</v>
      </c>
      <c r="DE49" s="93">
        <f t="shared" si="31"/>
        <v>6141.2800000000007</v>
      </c>
      <c r="DF49" s="93">
        <f t="shared" si="31"/>
        <v>2625.58</v>
      </c>
      <c r="DG49" s="96">
        <f t="shared" si="31"/>
        <v>2996.2200000000003</v>
      </c>
      <c r="DH49" s="96">
        <f t="shared" si="31"/>
        <v>3819.96</v>
      </c>
      <c r="DI49" s="96">
        <f t="shared" si="31"/>
        <v>3691.24</v>
      </c>
      <c r="DJ49" s="96">
        <f t="shared" si="31"/>
        <v>3490.27</v>
      </c>
      <c r="DK49" s="96">
        <f t="shared" si="31"/>
        <v>6679.59</v>
      </c>
      <c r="DL49" s="96">
        <f t="shared" si="31"/>
        <v>779.68999999999994</v>
      </c>
      <c r="DM49" s="96">
        <f t="shared" si="31"/>
        <v>3891.88</v>
      </c>
      <c r="DN49" s="96">
        <f t="shared" si="31"/>
        <v>2430.2099999999996</v>
      </c>
      <c r="DO49" s="93">
        <f t="shared" si="31"/>
        <v>2214.27</v>
      </c>
      <c r="DP49" s="93">
        <f t="shared" si="31"/>
        <v>2177.6999999999998</v>
      </c>
      <c r="DQ49" s="93">
        <f t="shared" si="31"/>
        <v>3950.34</v>
      </c>
      <c r="DR49" s="96">
        <f t="shared" ref="DR49:EO49" si="32">SUM(DR36:DR47)</f>
        <v>4105.2</v>
      </c>
      <c r="DS49" s="96">
        <f t="shared" si="32"/>
        <v>4089.98</v>
      </c>
      <c r="DT49" s="96">
        <f t="shared" si="32"/>
        <v>8649.89</v>
      </c>
      <c r="DU49" s="96">
        <f t="shared" si="32"/>
        <v>1064.83</v>
      </c>
      <c r="DV49" s="96">
        <f t="shared" si="32"/>
        <v>5809.3600000000006</v>
      </c>
      <c r="DW49" s="96">
        <f t="shared" si="32"/>
        <v>5378.97</v>
      </c>
      <c r="DX49" s="96">
        <f t="shared" si="32"/>
        <v>4401.4699999999993</v>
      </c>
      <c r="DY49" s="96">
        <f t="shared" si="32"/>
        <v>4500.92</v>
      </c>
      <c r="DZ49" s="96">
        <f t="shared" si="32"/>
        <v>1811.9499999999998</v>
      </c>
      <c r="EA49" s="96">
        <f t="shared" si="32"/>
        <v>2576.84</v>
      </c>
      <c r="EB49" s="96">
        <f t="shared" si="32"/>
        <v>5399.7899999999991</v>
      </c>
      <c r="EC49" s="96">
        <f t="shared" si="32"/>
        <v>3859.3500000000004</v>
      </c>
      <c r="ED49" s="96">
        <f t="shared" si="32"/>
        <v>6600.0400000000009</v>
      </c>
      <c r="EE49" s="96">
        <f t="shared" si="32"/>
        <v>2610.09</v>
      </c>
      <c r="EF49" s="96">
        <f t="shared" si="32"/>
        <v>4425.84</v>
      </c>
      <c r="EG49" s="96">
        <f t="shared" si="32"/>
        <v>9448.58</v>
      </c>
      <c r="EH49" s="96">
        <f t="shared" si="32"/>
        <v>5665.54</v>
      </c>
      <c r="EI49" s="96">
        <f t="shared" si="32"/>
        <v>1599.96</v>
      </c>
      <c r="EJ49" s="96">
        <f t="shared" si="32"/>
        <v>2089</v>
      </c>
      <c r="EK49" s="96">
        <f t="shared" si="32"/>
        <v>4567.25</v>
      </c>
      <c r="EL49" s="96">
        <f t="shared" si="32"/>
        <v>5789.4400000000005</v>
      </c>
      <c r="EM49" s="96">
        <f t="shared" si="32"/>
        <v>8495.99</v>
      </c>
      <c r="EN49" s="96">
        <f t="shared" si="32"/>
        <v>3696.7900000000009</v>
      </c>
      <c r="EO49" s="96">
        <f t="shared" si="32"/>
        <v>4574.29</v>
      </c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</row>
    <row r="50" spans="1:255" x14ac:dyDescent="0.25">
      <c r="A50" s="41"/>
      <c r="Z50" s="40" t="s">
        <v>157</v>
      </c>
      <c r="AA50" s="59"/>
      <c r="AB50" s="60"/>
      <c r="AC50" s="40" t="s">
        <v>157</v>
      </c>
      <c r="AD50" s="40"/>
      <c r="AE50" s="40"/>
      <c r="AF50" s="40"/>
      <c r="AG50" s="40"/>
      <c r="AH50" s="40" t="s">
        <v>4</v>
      </c>
      <c r="AI50" s="61"/>
      <c r="AJ50" s="41"/>
      <c r="AK50" s="41"/>
      <c r="AZ50" s="41"/>
      <c r="BB50" s="41"/>
      <c r="BC50" s="41"/>
      <c r="BE50" s="41"/>
      <c r="BI50" s="41"/>
      <c r="BT50" s="48"/>
      <c r="BU50" s="47"/>
      <c r="CG50" s="48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S50" s="41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1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1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</row>
    <row r="51" spans="1:255" hidden="1" x14ac:dyDescent="0.25">
      <c r="A51" s="41" t="s">
        <v>198</v>
      </c>
      <c r="Z51" s="40">
        <f>+DE51-DQ51</f>
        <v>0</v>
      </c>
      <c r="AA51" s="59"/>
      <c r="AB51" s="60"/>
      <c r="AC51" s="40" t="s">
        <v>4</v>
      </c>
      <c r="AD51" s="40">
        <f>+DE51+DD51+DC51+DB51+DA51+CZ51+CY51+CX51+CW51+CV51+CU51+CT51</f>
        <v>0</v>
      </c>
      <c r="AE51" s="40">
        <f>+AI51/12*A108</f>
        <v>0</v>
      </c>
      <c r="AF51" s="40">
        <f>+AD51-AE51</f>
        <v>0</v>
      </c>
      <c r="AG51" s="40">
        <f>+DQ51</f>
        <v>0</v>
      </c>
      <c r="AH51" s="40" t="s">
        <v>4</v>
      </c>
      <c r="AI51" s="61">
        <v>0</v>
      </c>
      <c r="AJ51" s="62" t="s">
        <v>157</v>
      </c>
      <c r="AK51" s="62"/>
      <c r="AZ51" s="41"/>
      <c r="BB51" s="41"/>
      <c r="BC51" s="41"/>
      <c r="BE51" s="41"/>
      <c r="BI51" s="41"/>
      <c r="BT51" s="48"/>
      <c r="BU51" s="47"/>
      <c r="CG51" s="48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1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>
        <v>0</v>
      </c>
      <c r="DF51" s="40">
        <v>0</v>
      </c>
      <c r="DG51" s="40">
        <v>0</v>
      </c>
      <c r="DH51" s="40">
        <v>0</v>
      </c>
      <c r="DI51" s="40">
        <v>0</v>
      </c>
      <c r="DJ51" s="40">
        <v>0</v>
      </c>
      <c r="DK51" s="40">
        <v>0</v>
      </c>
      <c r="DL51" s="40">
        <v>0</v>
      </c>
      <c r="DM51" s="40">
        <v>0</v>
      </c>
      <c r="DN51" s="40">
        <v>0</v>
      </c>
      <c r="DO51" s="40">
        <v>0</v>
      </c>
      <c r="DP51" s="40">
        <v>0</v>
      </c>
      <c r="DQ51" s="40">
        <v>0</v>
      </c>
      <c r="DR51" s="40">
        <v>0</v>
      </c>
      <c r="DS51" s="40">
        <v>0</v>
      </c>
      <c r="DT51" s="40">
        <v>0</v>
      </c>
      <c r="DU51" s="40">
        <v>0</v>
      </c>
      <c r="DV51" s="40">
        <v>0</v>
      </c>
      <c r="DW51" s="40">
        <v>0</v>
      </c>
      <c r="DX51" s="40">
        <v>0</v>
      </c>
      <c r="DY51" s="40">
        <v>0</v>
      </c>
      <c r="DZ51" s="40">
        <v>0</v>
      </c>
      <c r="EA51" s="40">
        <v>0</v>
      </c>
      <c r="EB51" s="40">
        <v>0</v>
      </c>
      <c r="EC51" s="40">
        <v>0</v>
      </c>
      <c r="ED51" s="40">
        <v>0</v>
      </c>
      <c r="EE51" s="40">
        <v>0</v>
      </c>
      <c r="EF51" s="40">
        <v>0</v>
      </c>
      <c r="EG51" s="40">
        <v>1500</v>
      </c>
      <c r="EH51" s="40">
        <v>0</v>
      </c>
      <c r="EI51" s="40">
        <v>0</v>
      </c>
      <c r="EJ51" s="40">
        <v>150</v>
      </c>
      <c r="EK51" s="40">
        <v>0</v>
      </c>
      <c r="EL51" s="40">
        <v>0</v>
      </c>
      <c r="EM51" s="40">
        <v>1050</v>
      </c>
      <c r="EN51" s="40">
        <v>0</v>
      </c>
      <c r="EO51" s="40">
        <v>1000</v>
      </c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</row>
    <row r="52" spans="1:255" hidden="1" x14ac:dyDescent="0.25">
      <c r="A52" s="41" t="s">
        <v>199</v>
      </c>
      <c r="Z52" s="40">
        <f>+DE52-DQ52</f>
        <v>0</v>
      </c>
      <c r="AA52" s="59"/>
      <c r="AB52" s="60"/>
      <c r="AC52" s="40" t="s">
        <v>4</v>
      </c>
      <c r="AD52" s="40">
        <f>+DE52+DD52+DC52+DB52+DA52+CZ52+CY52+CX52+CW52+CV52+CU52+CT52</f>
        <v>0</v>
      </c>
      <c r="AE52" s="40">
        <f>+AI52/12*A108</f>
        <v>0</v>
      </c>
      <c r="AF52" s="40">
        <f>+AD52-AE52</f>
        <v>0</v>
      </c>
      <c r="AG52" s="40">
        <f>+DQ52</f>
        <v>0</v>
      </c>
      <c r="AH52" s="40" t="s">
        <v>4</v>
      </c>
      <c r="AI52" s="61">
        <v>0</v>
      </c>
      <c r="AJ52" s="62" t="s">
        <v>157</v>
      </c>
      <c r="AK52" s="62"/>
      <c r="AZ52" s="41"/>
      <c r="BB52" s="41"/>
      <c r="BC52" s="41"/>
      <c r="BE52" s="41"/>
      <c r="BI52" s="41"/>
      <c r="BT52" s="48"/>
      <c r="BU52" s="47"/>
      <c r="CG52" s="48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1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>
        <v>0</v>
      </c>
      <c r="DF52" s="40">
        <v>0</v>
      </c>
      <c r="DG52" s="40">
        <v>0</v>
      </c>
      <c r="DH52" s="40">
        <v>0</v>
      </c>
      <c r="DI52" s="40">
        <v>0</v>
      </c>
      <c r="DJ52" s="40">
        <v>0</v>
      </c>
      <c r="DK52" s="40">
        <v>0</v>
      </c>
      <c r="DL52" s="40">
        <v>0</v>
      </c>
      <c r="DM52" s="40">
        <v>0</v>
      </c>
      <c r="DN52" s="40">
        <v>0</v>
      </c>
      <c r="DO52" s="40">
        <v>0</v>
      </c>
      <c r="DP52" s="40">
        <v>0</v>
      </c>
      <c r="DQ52" s="40">
        <v>0</v>
      </c>
      <c r="DR52" s="40">
        <v>0</v>
      </c>
      <c r="DS52" s="40">
        <v>0</v>
      </c>
      <c r="DT52" s="40">
        <v>0</v>
      </c>
      <c r="DU52" s="40">
        <v>50.9</v>
      </c>
      <c r="DV52" s="40">
        <v>0</v>
      </c>
      <c r="DW52" s="40">
        <v>100.4</v>
      </c>
      <c r="DX52" s="40">
        <v>0</v>
      </c>
      <c r="DY52" s="40">
        <v>499.2</v>
      </c>
      <c r="DZ52" s="40">
        <v>556.4</v>
      </c>
      <c r="EA52" s="40">
        <v>0</v>
      </c>
      <c r="EB52" s="40">
        <v>0</v>
      </c>
      <c r="EC52" s="40">
        <v>0</v>
      </c>
      <c r="ED52" s="40">
        <v>0</v>
      </c>
      <c r="EE52" s="40">
        <v>0</v>
      </c>
      <c r="EF52" s="40">
        <v>0</v>
      </c>
      <c r="EG52" s="40">
        <v>50.9</v>
      </c>
      <c r="EH52" s="40">
        <v>0</v>
      </c>
      <c r="EI52" s="40">
        <v>46.1</v>
      </c>
      <c r="EJ52" s="40">
        <v>0</v>
      </c>
      <c r="EK52" s="40">
        <v>354.1</v>
      </c>
      <c r="EL52" s="40">
        <v>202</v>
      </c>
      <c r="EM52" s="40">
        <v>45.8</v>
      </c>
      <c r="EN52" s="40">
        <v>329.3</v>
      </c>
      <c r="EO52" s="40">
        <v>513.20000000000005</v>
      </c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</row>
    <row r="53" spans="1:255" hidden="1" x14ac:dyDescent="0.25">
      <c r="A53" s="41" t="s">
        <v>200</v>
      </c>
      <c r="Z53" s="40">
        <f>+DE53-DQ53</f>
        <v>0</v>
      </c>
      <c r="AA53" s="59"/>
      <c r="AB53" s="60"/>
      <c r="AC53" s="40" t="s">
        <v>4</v>
      </c>
      <c r="AD53" s="40">
        <f>+DE53+DD53+DC53+DB53+DA53+CZ53+CY53+CX53+CW53+CV53+CU53+CT53</f>
        <v>0</v>
      </c>
      <c r="AE53" s="64">
        <f>+AI53/12*A108</f>
        <v>0</v>
      </c>
      <c r="AF53" s="64">
        <f>+AD53-AE53</f>
        <v>0</v>
      </c>
      <c r="AG53" s="40">
        <f>+DQ53</f>
        <v>0</v>
      </c>
      <c r="AH53" s="40" t="s">
        <v>4</v>
      </c>
      <c r="AI53" s="63">
        <v>0</v>
      </c>
      <c r="AJ53" s="62" t="s">
        <v>157</v>
      </c>
      <c r="AK53" s="62"/>
      <c r="AZ53" s="41"/>
      <c r="BB53" s="41"/>
      <c r="BC53" s="41"/>
      <c r="BE53" s="41"/>
      <c r="BI53" s="41"/>
      <c r="BT53" s="48"/>
      <c r="BU53" s="47"/>
      <c r="CG53" s="48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40"/>
      <c r="CS53" s="41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40">
        <v>0</v>
      </c>
      <c r="DF53" s="64">
        <v>0</v>
      </c>
      <c r="DG53" s="64">
        <v>0</v>
      </c>
      <c r="DH53" s="64">
        <v>0</v>
      </c>
      <c r="DI53" s="64">
        <v>0</v>
      </c>
      <c r="DJ53" s="64">
        <v>0</v>
      </c>
      <c r="DK53" s="64">
        <v>0</v>
      </c>
      <c r="DL53" s="64">
        <v>0</v>
      </c>
      <c r="DM53" s="64">
        <v>0</v>
      </c>
      <c r="DN53" s="64">
        <v>0</v>
      </c>
      <c r="DO53" s="64">
        <v>0</v>
      </c>
      <c r="DP53" s="64">
        <v>0</v>
      </c>
      <c r="DQ53" s="40">
        <v>0</v>
      </c>
      <c r="DR53" s="64">
        <v>0</v>
      </c>
      <c r="DS53" s="64">
        <v>0</v>
      </c>
      <c r="DT53" s="64">
        <v>0</v>
      </c>
      <c r="DU53" s="64">
        <v>0</v>
      </c>
      <c r="DV53" s="64">
        <v>0</v>
      </c>
      <c r="DW53" s="64">
        <v>0</v>
      </c>
      <c r="DX53" s="64">
        <v>0</v>
      </c>
      <c r="DY53" s="64">
        <v>0</v>
      </c>
      <c r="DZ53" s="64">
        <v>0</v>
      </c>
      <c r="EA53" s="64">
        <v>30.25</v>
      </c>
      <c r="EB53" s="64">
        <v>727.08</v>
      </c>
      <c r="EC53" s="64">
        <v>0</v>
      </c>
      <c r="ED53" s="64">
        <v>0</v>
      </c>
      <c r="EE53" s="64">
        <v>0</v>
      </c>
      <c r="EF53" s="64">
        <v>26.94</v>
      </c>
      <c r="EG53" s="64">
        <v>1105.26</v>
      </c>
      <c r="EH53" s="64">
        <v>0</v>
      </c>
      <c r="EI53" s="64">
        <v>0</v>
      </c>
      <c r="EJ53" s="64">
        <v>0</v>
      </c>
      <c r="EK53" s="64">
        <v>0</v>
      </c>
      <c r="EL53" s="64">
        <v>505.35</v>
      </c>
      <c r="EM53" s="64">
        <v>18.87</v>
      </c>
      <c r="EN53" s="64">
        <v>848.89</v>
      </c>
      <c r="EO53" s="64">
        <v>0</v>
      </c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</row>
    <row r="54" spans="1:255" hidden="1" x14ac:dyDescent="0.25">
      <c r="A54" s="41" t="s">
        <v>201</v>
      </c>
      <c r="Z54" s="40">
        <f>SUM(Z51:Z53)</f>
        <v>0</v>
      </c>
      <c r="AA54" s="59"/>
      <c r="AB54" s="60"/>
      <c r="AC54" s="40" t="s">
        <v>4</v>
      </c>
      <c r="AD54" s="74">
        <f>SUM(AD51:AD53)</f>
        <v>0</v>
      </c>
      <c r="AE54" s="40">
        <f>SUM(AE51:AE53)</f>
        <v>0</v>
      </c>
      <c r="AF54" s="40">
        <f>SUM(AF51:AF53)</f>
        <v>0</v>
      </c>
      <c r="AG54" s="74">
        <f>SUM(AG51:AG53)</f>
        <v>0</v>
      </c>
      <c r="AH54" s="40" t="s">
        <v>4</v>
      </c>
      <c r="AI54" s="61">
        <f>SUM(AI51:AI53)</f>
        <v>0</v>
      </c>
      <c r="AJ54" s="62" t="s">
        <v>157</v>
      </c>
      <c r="AK54" s="62"/>
      <c r="AZ54" s="41"/>
      <c r="BB54" s="41"/>
      <c r="BC54" s="41"/>
      <c r="BE54" s="41"/>
      <c r="BI54" s="41"/>
      <c r="BT54" s="48"/>
      <c r="BU54" s="47"/>
      <c r="CG54" s="48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1"/>
      <c r="CT54" s="40">
        <f t="shared" ref="CT54:EN54" si="33">SUM(CT51:CT53)</f>
        <v>0</v>
      </c>
      <c r="CU54" s="40">
        <f t="shared" si="33"/>
        <v>0</v>
      </c>
      <c r="CV54" s="40">
        <f t="shared" si="33"/>
        <v>0</v>
      </c>
      <c r="CW54" s="40">
        <f t="shared" si="33"/>
        <v>0</v>
      </c>
      <c r="CX54" s="40">
        <f t="shared" si="33"/>
        <v>0</v>
      </c>
      <c r="CY54" s="40">
        <f t="shared" si="33"/>
        <v>0</v>
      </c>
      <c r="CZ54" s="74">
        <f t="shared" si="33"/>
        <v>0</v>
      </c>
      <c r="DA54" s="40">
        <f t="shared" si="33"/>
        <v>0</v>
      </c>
      <c r="DB54" s="40">
        <f t="shared" si="33"/>
        <v>0</v>
      </c>
      <c r="DC54" s="40">
        <f t="shared" si="33"/>
        <v>0</v>
      </c>
      <c r="DD54" s="40">
        <f t="shared" si="33"/>
        <v>0</v>
      </c>
      <c r="DE54" s="74">
        <f t="shared" si="33"/>
        <v>0</v>
      </c>
      <c r="DF54" s="40">
        <f t="shared" si="33"/>
        <v>0</v>
      </c>
      <c r="DG54" s="40">
        <f t="shared" si="33"/>
        <v>0</v>
      </c>
      <c r="DH54" s="40">
        <f t="shared" si="33"/>
        <v>0</v>
      </c>
      <c r="DI54" s="40">
        <f t="shared" si="33"/>
        <v>0</v>
      </c>
      <c r="DJ54" s="40">
        <f t="shared" si="33"/>
        <v>0</v>
      </c>
      <c r="DK54" s="40">
        <f t="shared" si="33"/>
        <v>0</v>
      </c>
      <c r="DL54" s="74">
        <f t="shared" si="33"/>
        <v>0</v>
      </c>
      <c r="DM54" s="40">
        <f t="shared" si="33"/>
        <v>0</v>
      </c>
      <c r="DN54" s="40">
        <f t="shared" si="33"/>
        <v>0</v>
      </c>
      <c r="DO54" s="40">
        <f t="shared" si="33"/>
        <v>0</v>
      </c>
      <c r="DP54" s="40">
        <f t="shared" si="33"/>
        <v>0</v>
      </c>
      <c r="DQ54" s="74">
        <f t="shared" si="33"/>
        <v>0</v>
      </c>
      <c r="DR54" s="40">
        <f t="shared" si="33"/>
        <v>0</v>
      </c>
      <c r="DS54" s="40">
        <f t="shared" si="33"/>
        <v>0</v>
      </c>
      <c r="DT54" s="40">
        <f t="shared" si="33"/>
        <v>0</v>
      </c>
      <c r="DU54" s="40">
        <f t="shared" si="33"/>
        <v>50.9</v>
      </c>
      <c r="DV54" s="40">
        <f t="shared" si="33"/>
        <v>0</v>
      </c>
      <c r="DW54" s="40">
        <f t="shared" si="33"/>
        <v>100.4</v>
      </c>
      <c r="DX54" s="40">
        <f t="shared" si="33"/>
        <v>0</v>
      </c>
      <c r="DY54" s="40">
        <f t="shared" si="33"/>
        <v>499.2</v>
      </c>
      <c r="DZ54" s="40">
        <f t="shared" si="33"/>
        <v>556.4</v>
      </c>
      <c r="EA54" s="40">
        <f t="shared" si="33"/>
        <v>30.25</v>
      </c>
      <c r="EB54" s="40">
        <f t="shared" si="33"/>
        <v>727.08</v>
      </c>
      <c r="EC54" s="40">
        <f t="shared" si="33"/>
        <v>0</v>
      </c>
      <c r="ED54" s="40">
        <f t="shared" si="33"/>
        <v>0</v>
      </c>
      <c r="EE54" s="40">
        <f t="shared" si="33"/>
        <v>0</v>
      </c>
      <c r="EF54" s="40">
        <f t="shared" si="33"/>
        <v>26.94</v>
      </c>
      <c r="EG54" s="40">
        <f t="shared" si="33"/>
        <v>2656.16</v>
      </c>
      <c r="EH54" s="40">
        <f t="shared" si="33"/>
        <v>0</v>
      </c>
      <c r="EI54" s="40">
        <f t="shared" si="33"/>
        <v>46.1</v>
      </c>
      <c r="EJ54" s="40">
        <f t="shared" si="33"/>
        <v>150</v>
      </c>
      <c r="EK54" s="40">
        <f t="shared" si="33"/>
        <v>354.1</v>
      </c>
      <c r="EL54" s="40">
        <f t="shared" si="33"/>
        <v>707.35</v>
      </c>
      <c r="EM54" s="40">
        <f t="shared" si="33"/>
        <v>1114.6699999999998</v>
      </c>
      <c r="EN54" s="40">
        <f t="shared" si="33"/>
        <v>1178.19</v>
      </c>
      <c r="EO54" s="40">
        <f>SUM(EO51:EO53)</f>
        <v>1513.2</v>
      </c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idden="1" x14ac:dyDescent="0.25">
      <c r="A55" s="41"/>
      <c r="AA55" s="59"/>
      <c r="AB55" s="60"/>
      <c r="AC55" s="40" t="s">
        <v>4</v>
      </c>
      <c r="AD55" s="40"/>
      <c r="AE55" s="40"/>
      <c r="AF55" s="40"/>
      <c r="AG55" s="40"/>
      <c r="AH55" s="40" t="s">
        <v>4</v>
      </c>
      <c r="AI55" s="61"/>
      <c r="AJ55" s="41"/>
      <c r="AK55" s="41"/>
      <c r="AZ55" s="41"/>
      <c r="BB55" s="41"/>
      <c r="BC55" s="41"/>
      <c r="BE55" s="41"/>
      <c r="BI55" s="41"/>
      <c r="BT55" s="48"/>
      <c r="BU55" s="47"/>
      <c r="CG55" s="48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1"/>
      <c r="CS55" s="41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1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1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</row>
    <row r="56" spans="1:255" ht="15.6" x14ac:dyDescent="0.3">
      <c r="A56" s="41"/>
      <c r="F56" s="40" t="s">
        <v>1</v>
      </c>
      <c r="G56" s="40" t="s">
        <v>1</v>
      </c>
      <c r="J56" s="40" t="s">
        <v>1</v>
      </c>
      <c r="K56" s="40" t="s">
        <v>1</v>
      </c>
      <c r="AA56" s="45" t="s">
        <v>2</v>
      </c>
      <c r="AB56" s="46" t="s">
        <v>3</v>
      </c>
      <c r="AC56" s="40" t="s">
        <v>4</v>
      </c>
      <c r="AD56" s="41" t="s">
        <v>5</v>
      </c>
      <c r="AE56" s="41"/>
      <c r="AF56" s="41"/>
      <c r="AG56" s="41" t="s">
        <v>6</v>
      </c>
      <c r="AH56" s="41" t="s">
        <v>4</v>
      </c>
      <c r="AI56" s="41" t="s">
        <v>7</v>
      </c>
      <c r="AJ56" s="41"/>
      <c r="AK56" s="41"/>
      <c r="AZ56" s="41"/>
      <c r="BB56" s="41"/>
      <c r="BC56" s="41"/>
      <c r="BE56" s="41"/>
      <c r="BG56" s="41"/>
      <c r="BI56" s="41" t="s">
        <v>1</v>
      </c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7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8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 t="s">
        <v>1</v>
      </c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 t="s">
        <v>1</v>
      </c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</row>
    <row r="57" spans="1:255" x14ac:dyDescent="0.25">
      <c r="A57" s="41" t="s">
        <v>202</v>
      </c>
      <c r="B57" s="40" t="s">
        <v>9</v>
      </c>
      <c r="C57" s="40" t="s">
        <v>10</v>
      </c>
      <c r="D57" s="49" t="s">
        <v>11</v>
      </c>
      <c r="E57" s="49" t="s">
        <v>12</v>
      </c>
      <c r="F57" s="49" t="s">
        <v>13</v>
      </c>
      <c r="G57" s="49" t="s">
        <v>14</v>
      </c>
      <c r="H57" s="49" t="s">
        <v>15</v>
      </c>
      <c r="I57" s="49" t="s">
        <v>16</v>
      </c>
      <c r="J57" s="49" t="s">
        <v>17</v>
      </c>
      <c r="K57" s="49" t="s">
        <v>18</v>
      </c>
      <c r="L57" s="49" t="s">
        <v>19</v>
      </c>
      <c r="M57" s="49" t="s">
        <v>20</v>
      </c>
      <c r="N57" s="49" t="s">
        <v>21</v>
      </c>
      <c r="O57" s="49" t="s">
        <v>22</v>
      </c>
      <c r="P57" s="49" t="s">
        <v>23</v>
      </c>
      <c r="Q57" s="49" t="s">
        <v>24</v>
      </c>
      <c r="R57" s="49" t="s">
        <v>25</v>
      </c>
      <c r="S57" s="49" t="s">
        <v>26</v>
      </c>
      <c r="T57" s="49" t="s">
        <v>27</v>
      </c>
      <c r="U57" s="49" t="s">
        <v>28</v>
      </c>
      <c r="V57" s="49" t="s">
        <v>29</v>
      </c>
      <c r="W57" s="49" t="s">
        <v>30</v>
      </c>
      <c r="X57" s="49" t="s">
        <v>31</v>
      </c>
      <c r="Y57" s="49" t="s">
        <v>32</v>
      </c>
      <c r="Z57" s="49" t="s">
        <v>33</v>
      </c>
      <c r="AA57" s="50"/>
      <c r="AB57" s="51"/>
      <c r="AC57" s="40" t="s">
        <v>4</v>
      </c>
      <c r="AD57" s="68" t="s">
        <v>203</v>
      </c>
      <c r="AE57" s="68" t="s">
        <v>171</v>
      </c>
      <c r="AF57" s="68" t="s">
        <v>36</v>
      </c>
      <c r="AG57" s="68" t="s">
        <v>37</v>
      </c>
      <c r="AH57" s="49" t="s">
        <v>4</v>
      </c>
      <c r="AI57" s="69" t="s">
        <v>38</v>
      </c>
      <c r="AJ57" s="70" t="s">
        <v>39</v>
      </c>
      <c r="AK57" s="70"/>
      <c r="AL57" s="49" t="s">
        <v>40</v>
      </c>
      <c r="AM57" s="49" t="s">
        <v>41</v>
      </c>
      <c r="AN57" s="49" t="s">
        <v>42</v>
      </c>
      <c r="AO57" s="49" t="s">
        <v>43</v>
      </c>
      <c r="AP57" s="49" t="s">
        <v>44</v>
      </c>
      <c r="AQ57" s="49" t="s">
        <v>45</v>
      </c>
      <c r="AR57" s="49" t="s">
        <v>46</v>
      </c>
      <c r="AS57" s="49" t="s">
        <v>47</v>
      </c>
      <c r="AT57" s="49" t="s">
        <v>48</v>
      </c>
      <c r="AU57" s="49" t="s">
        <v>49</v>
      </c>
      <c r="AV57" s="49" t="s">
        <v>50</v>
      </c>
      <c r="AW57" s="40" t="s">
        <v>51</v>
      </c>
      <c r="AX57" s="53" t="s">
        <v>52</v>
      </c>
      <c r="AY57" s="53" t="s">
        <v>53</v>
      </c>
      <c r="AZ57" s="53" t="s">
        <v>54</v>
      </c>
      <c r="BA57" s="53" t="s">
        <v>55</v>
      </c>
      <c r="BB57" s="49" t="s">
        <v>56</v>
      </c>
      <c r="BC57" s="53" t="s">
        <v>57</v>
      </c>
      <c r="BD57" s="53" t="s">
        <v>58</v>
      </c>
      <c r="BE57" s="53" t="s">
        <v>59</v>
      </c>
      <c r="BF57" s="53" t="s">
        <v>60</v>
      </c>
      <c r="BG57" s="53" t="s">
        <v>61</v>
      </c>
      <c r="BH57" s="53" t="s">
        <v>62</v>
      </c>
      <c r="BI57" s="47" t="s">
        <v>63</v>
      </c>
      <c r="BJ57" s="53" t="s">
        <v>64</v>
      </c>
      <c r="BK57" s="53" t="s">
        <v>65</v>
      </c>
      <c r="BL57" s="53" t="s">
        <v>66</v>
      </c>
      <c r="BM57" s="53" t="s">
        <v>67</v>
      </c>
      <c r="BN57" s="49" t="s">
        <v>68</v>
      </c>
      <c r="BO57" s="53" t="s">
        <v>69</v>
      </c>
      <c r="BP57" s="53" t="s">
        <v>70</v>
      </c>
      <c r="BQ57" s="53" t="s">
        <v>71</v>
      </c>
      <c r="BR57" s="53" t="s">
        <v>72</v>
      </c>
      <c r="BS57" s="53" t="s">
        <v>73</v>
      </c>
      <c r="BT57" s="53" t="s">
        <v>74</v>
      </c>
      <c r="BU57" s="47" t="s">
        <v>75</v>
      </c>
      <c r="BV57" s="53" t="s">
        <v>76</v>
      </c>
      <c r="BW57" s="53" t="s">
        <v>77</v>
      </c>
      <c r="BX57" s="53" t="s">
        <v>78</v>
      </c>
      <c r="BY57" s="53" t="s">
        <v>79</v>
      </c>
      <c r="BZ57" s="49" t="s">
        <v>80</v>
      </c>
      <c r="CA57" s="53" t="s">
        <v>81</v>
      </c>
      <c r="CB57" s="53" t="s">
        <v>82</v>
      </c>
      <c r="CC57" s="53" t="s">
        <v>83</v>
      </c>
      <c r="CD57" s="53" t="s">
        <v>84</v>
      </c>
      <c r="CE57" s="53" t="s">
        <v>85</v>
      </c>
      <c r="CF57" s="53" t="s">
        <v>86</v>
      </c>
      <c r="CG57" s="48" t="s">
        <v>87</v>
      </c>
      <c r="CH57" s="53" t="s">
        <v>88</v>
      </c>
      <c r="CI57" s="53" t="s">
        <v>89</v>
      </c>
      <c r="CJ57" s="53" t="s">
        <v>90</v>
      </c>
      <c r="CK57" s="53" t="s">
        <v>91</v>
      </c>
      <c r="CL57" s="49" t="s">
        <v>92</v>
      </c>
      <c r="CM57" s="53" t="s">
        <v>93</v>
      </c>
      <c r="CN57" s="53" t="s">
        <v>94</v>
      </c>
      <c r="CO57" s="53" t="s">
        <v>95</v>
      </c>
      <c r="CP57" s="53" t="s">
        <v>96</v>
      </c>
      <c r="CQ57" s="53" t="s">
        <v>97</v>
      </c>
      <c r="CR57" s="53" t="s">
        <v>98</v>
      </c>
      <c r="CS57" s="41" t="s">
        <v>99</v>
      </c>
      <c r="CT57" s="49" t="s">
        <v>100</v>
      </c>
      <c r="CU57" s="49" t="s">
        <v>101</v>
      </c>
      <c r="CV57" s="49" t="s">
        <v>102</v>
      </c>
      <c r="CW57" s="49" t="s">
        <v>103</v>
      </c>
      <c r="CX57" s="49" t="s">
        <v>104</v>
      </c>
      <c r="CY57" s="49" t="s">
        <v>105</v>
      </c>
      <c r="CZ57" s="49" t="s">
        <v>106</v>
      </c>
      <c r="DA57" s="49" t="s">
        <v>107</v>
      </c>
      <c r="DB57" s="49" t="s">
        <v>108</v>
      </c>
      <c r="DC57" s="49" t="s">
        <v>109</v>
      </c>
      <c r="DD57" s="49" t="s">
        <v>110</v>
      </c>
      <c r="DE57" s="49" t="s">
        <v>111</v>
      </c>
      <c r="DF57" s="49" t="s">
        <v>112</v>
      </c>
      <c r="DG57" s="49" t="s">
        <v>113</v>
      </c>
      <c r="DH57" s="49" t="s">
        <v>114</v>
      </c>
      <c r="DI57" s="49" t="s">
        <v>115</v>
      </c>
      <c r="DJ57" s="49" t="s">
        <v>116</v>
      </c>
      <c r="DK57" s="49" t="s">
        <v>117</v>
      </c>
      <c r="DL57" s="49" t="s">
        <v>118</v>
      </c>
      <c r="DM57" s="49" t="s">
        <v>119</v>
      </c>
      <c r="DN57" s="49" t="s">
        <v>120</v>
      </c>
      <c r="DO57" s="49" t="s">
        <v>121</v>
      </c>
      <c r="DP57" s="49" t="s">
        <v>122</v>
      </c>
      <c r="DQ57" s="49" t="s">
        <v>123</v>
      </c>
      <c r="DR57" s="49" t="s">
        <v>124</v>
      </c>
      <c r="DS57" s="49" t="s">
        <v>125</v>
      </c>
      <c r="DT57" s="49" t="s">
        <v>126</v>
      </c>
      <c r="DU57" s="49" t="s">
        <v>127</v>
      </c>
      <c r="DV57" s="49" t="s">
        <v>128</v>
      </c>
      <c r="DW57" s="49" t="s">
        <v>129</v>
      </c>
      <c r="DX57" s="49" t="s">
        <v>130</v>
      </c>
      <c r="DY57" s="49" t="s">
        <v>131</v>
      </c>
      <c r="DZ57" s="49" t="s">
        <v>132</v>
      </c>
      <c r="EA57" s="49" t="s">
        <v>133</v>
      </c>
      <c r="EB57" s="49" t="s">
        <v>134</v>
      </c>
      <c r="EC57" s="49" t="s">
        <v>135</v>
      </c>
      <c r="ED57" s="49" t="s">
        <v>136</v>
      </c>
      <c r="EE57" s="49" t="s">
        <v>137</v>
      </c>
      <c r="EF57" s="49" t="s">
        <v>138</v>
      </c>
      <c r="EG57" s="49" t="s">
        <v>139</v>
      </c>
      <c r="EH57" s="49" t="s">
        <v>140</v>
      </c>
      <c r="EI57" s="49" t="s">
        <v>141</v>
      </c>
      <c r="EJ57" s="49" t="s">
        <v>142</v>
      </c>
      <c r="EK57" s="49" t="s">
        <v>143</v>
      </c>
      <c r="EL57" s="49" t="s">
        <v>144</v>
      </c>
      <c r="EM57" s="49" t="s">
        <v>145</v>
      </c>
      <c r="EN57" s="49" t="s">
        <v>146</v>
      </c>
      <c r="EO57" s="53" t="s">
        <v>147</v>
      </c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</row>
    <row r="58" spans="1:255" x14ac:dyDescent="0.25">
      <c r="A58" s="41" t="s">
        <v>204</v>
      </c>
      <c r="B58" s="49" t="s">
        <v>205</v>
      </c>
      <c r="C58" s="49" t="s">
        <v>205</v>
      </c>
      <c r="D58" s="49" t="s">
        <v>205</v>
      </c>
      <c r="E58" s="49" t="s">
        <v>205</v>
      </c>
      <c r="F58" s="49" t="s">
        <v>205</v>
      </c>
      <c r="G58" s="49" t="s">
        <v>205</v>
      </c>
      <c r="H58" s="49" t="s">
        <v>205</v>
      </c>
      <c r="I58" s="49" t="s">
        <v>205</v>
      </c>
      <c r="J58" s="49" t="s">
        <v>205</v>
      </c>
      <c r="K58" s="49" t="s">
        <v>205</v>
      </c>
      <c r="L58" s="49" t="s">
        <v>205</v>
      </c>
      <c r="M58" s="49" t="s">
        <v>205</v>
      </c>
      <c r="N58" s="49" t="s">
        <v>205</v>
      </c>
      <c r="O58" s="49" t="s">
        <v>205</v>
      </c>
      <c r="P58" s="49" t="s">
        <v>205</v>
      </c>
      <c r="Q58" s="49" t="s">
        <v>205</v>
      </c>
      <c r="R58" s="49" t="s">
        <v>205</v>
      </c>
      <c r="S58" s="49" t="s">
        <v>205</v>
      </c>
      <c r="T58" s="49" t="s">
        <v>205</v>
      </c>
      <c r="U58" s="49" t="s">
        <v>205</v>
      </c>
      <c r="V58" s="49" t="s">
        <v>205</v>
      </c>
      <c r="W58" s="49" t="s">
        <v>205</v>
      </c>
      <c r="X58" s="49" t="s">
        <v>205</v>
      </c>
      <c r="Y58" s="49" t="s">
        <v>205</v>
      </c>
      <c r="Z58" s="49" t="s">
        <v>150</v>
      </c>
      <c r="AA58" s="50"/>
      <c r="AB58" s="51"/>
      <c r="AC58" s="40" t="s">
        <v>4</v>
      </c>
      <c r="AD58" s="49" t="str">
        <f>+A111</f>
        <v>THRU 01/31/2021</v>
      </c>
      <c r="AE58" s="68" t="s">
        <v>151</v>
      </c>
      <c r="AF58" s="68" t="s">
        <v>152</v>
      </c>
      <c r="AG58" s="68" t="s">
        <v>153</v>
      </c>
      <c r="AH58" s="49" t="s">
        <v>4</v>
      </c>
      <c r="AI58" s="69" t="s">
        <v>154</v>
      </c>
      <c r="AJ58" s="70" t="s">
        <v>155</v>
      </c>
      <c r="AK58" s="70"/>
      <c r="AL58" s="49" t="s">
        <v>205</v>
      </c>
      <c r="AM58" s="49" t="s">
        <v>205</v>
      </c>
      <c r="AN58" s="49" t="s">
        <v>205</v>
      </c>
      <c r="AO58" s="49" t="s">
        <v>205</v>
      </c>
      <c r="AP58" s="49" t="s">
        <v>205</v>
      </c>
      <c r="AQ58" s="49" t="s">
        <v>205</v>
      </c>
      <c r="AR58" s="49" t="s">
        <v>205</v>
      </c>
      <c r="AS58" s="49" t="s">
        <v>205</v>
      </c>
      <c r="AT58" s="49" t="s">
        <v>205</v>
      </c>
      <c r="AU58" s="49" t="s">
        <v>205</v>
      </c>
      <c r="AV58" s="49" t="s">
        <v>205</v>
      </c>
      <c r="AW58" s="49" t="s">
        <v>205</v>
      </c>
      <c r="AX58" s="49" t="s">
        <v>205</v>
      </c>
      <c r="AY58" s="49" t="s">
        <v>205</v>
      </c>
      <c r="AZ58" s="49" t="s">
        <v>205</v>
      </c>
      <c r="BA58" s="49" t="s">
        <v>205</v>
      </c>
      <c r="BB58" s="49" t="s">
        <v>205</v>
      </c>
      <c r="BC58" s="49" t="s">
        <v>205</v>
      </c>
      <c r="BD58" s="49" t="s">
        <v>205</v>
      </c>
      <c r="BE58" s="49" t="s">
        <v>205</v>
      </c>
      <c r="BF58" s="49" t="s">
        <v>205</v>
      </c>
      <c r="BG58" s="49" t="s">
        <v>205</v>
      </c>
      <c r="BH58" s="49" t="s">
        <v>205</v>
      </c>
      <c r="BI58" s="71" t="s">
        <v>205</v>
      </c>
      <c r="BJ58" s="49" t="s">
        <v>205</v>
      </c>
      <c r="BK58" s="49" t="s">
        <v>205</v>
      </c>
      <c r="BL58" s="49" t="s">
        <v>205</v>
      </c>
      <c r="BM58" s="49" t="s">
        <v>205</v>
      </c>
      <c r="BN58" s="49" t="s">
        <v>205</v>
      </c>
      <c r="BO58" s="49" t="s">
        <v>205</v>
      </c>
      <c r="BP58" s="49" t="s">
        <v>205</v>
      </c>
      <c r="BQ58" s="49" t="s">
        <v>205</v>
      </c>
      <c r="BR58" s="49" t="s">
        <v>205</v>
      </c>
      <c r="BS58" s="49" t="s">
        <v>205</v>
      </c>
      <c r="BT58" s="49" t="s">
        <v>205</v>
      </c>
      <c r="BU58" s="71" t="s">
        <v>205</v>
      </c>
      <c r="BV58" s="49" t="s">
        <v>205</v>
      </c>
      <c r="BW58" s="49" t="s">
        <v>205</v>
      </c>
      <c r="BX58" s="49" t="s">
        <v>205</v>
      </c>
      <c r="BY58" s="49" t="s">
        <v>205</v>
      </c>
      <c r="BZ58" s="49" t="s">
        <v>205</v>
      </c>
      <c r="CA58" s="49" t="s">
        <v>205</v>
      </c>
      <c r="CB58" s="49" t="s">
        <v>205</v>
      </c>
      <c r="CC58" s="49" t="s">
        <v>205</v>
      </c>
      <c r="CD58" s="49" t="s">
        <v>205</v>
      </c>
      <c r="CE58" s="49" t="s">
        <v>205</v>
      </c>
      <c r="CF58" s="49" t="s">
        <v>205</v>
      </c>
      <c r="CG58" s="72" t="s">
        <v>205</v>
      </c>
      <c r="CH58" s="49" t="s">
        <v>205</v>
      </c>
      <c r="CI58" s="49" t="s">
        <v>205</v>
      </c>
      <c r="CJ58" s="49" t="s">
        <v>205</v>
      </c>
      <c r="CK58" s="49" t="s">
        <v>205</v>
      </c>
      <c r="CL58" s="49" t="s">
        <v>205</v>
      </c>
      <c r="CM58" s="49" t="s">
        <v>205</v>
      </c>
      <c r="CN58" s="49" t="s">
        <v>205</v>
      </c>
      <c r="CO58" s="49" t="s">
        <v>205</v>
      </c>
      <c r="CP58" s="49" t="s">
        <v>205</v>
      </c>
      <c r="CQ58" s="49" t="s">
        <v>205</v>
      </c>
      <c r="CR58" s="49" t="s">
        <v>205</v>
      </c>
      <c r="CS58" s="49" t="s">
        <v>205</v>
      </c>
      <c r="CT58" s="49" t="s">
        <v>205</v>
      </c>
      <c r="CU58" s="49" t="s">
        <v>205</v>
      </c>
      <c r="CV58" s="49" t="s">
        <v>205</v>
      </c>
      <c r="CW58" s="49" t="s">
        <v>205</v>
      </c>
      <c r="CX58" s="49" t="s">
        <v>205</v>
      </c>
      <c r="CY58" s="49" t="s">
        <v>205</v>
      </c>
      <c r="CZ58" s="49" t="s">
        <v>205</v>
      </c>
      <c r="DA58" s="49" t="s">
        <v>205</v>
      </c>
      <c r="DB58" s="49" t="s">
        <v>205</v>
      </c>
      <c r="DC58" s="49" t="s">
        <v>205</v>
      </c>
      <c r="DD58" s="49" t="s">
        <v>205</v>
      </c>
      <c r="DE58" s="49" t="s">
        <v>205</v>
      </c>
      <c r="DF58" s="49" t="s">
        <v>205</v>
      </c>
      <c r="DG58" s="49" t="s">
        <v>205</v>
      </c>
      <c r="DH58" s="49" t="s">
        <v>205</v>
      </c>
      <c r="DI58" s="49" t="s">
        <v>205</v>
      </c>
      <c r="DJ58" s="49" t="s">
        <v>205</v>
      </c>
      <c r="DK58" s="49" t="s">
        <v>205</v>
      </c>
      <c r="DL58" s="49" t="s">
        <v>205</v>
      </c>
      <c r="DM58" s="49" t="s">
        <v>205</v>
      </c>
      <c r="DN58" s="49" t="s">
        <v>205</v>
      </c>
      <c r="DO58" s="49" t="s">
        <v>205</v>
      </c>
      <c r="DP58" s="49" t="s">
        <v>205</v>
      </c>
      <c r="DQ58" s="49" t="s">
        <v>182</v>
      </c>
      <c r="DR58" s="49" t="s">
        <v>205</v>
      </c>
      <c r="DS58" s="49" t="s">
        <v>205</v>
      </c>
      <c r="DT58" s="49" t="s">
        <v>205</v>
      </c>
      <c r="DU58" s="49" t="s">
        <v>205</v>
      </c>
      <c r="DV58" s="49" t="s">
        <v>205</v>
      </c>
      <c r="DW58" s="49" t="s">
        <v>205</v>
      </c>
      <c r="DX58" s="49" t="s">
        <v>205</v>
      </c>
      <c r="DY58" s="49" t="s">
        <v>205</v>
      </c>
      <c r="DZ58" s="49" t="s">
        <v>205</v>
      </c>
      <c r="EA58" s="49" t="s">
        <v>205</v>
      </c>
      <c r="EB58" s="49" t="s">
        <v>205</v>
      </c>
      <c r="EC58" s="49" t="s">
        <v>205</v>
      </c>
      <c r="ED58" s="49" t="s">
        <v>205</v>
      </c>
      <c r="EE58" s="49" t="s">
        <v>205</v>
      </c>
      <c r="EF58" s="49" t="s">
        <v>205</v>
      </c>
      <c r="EG58" s="49" t="s">
        <v>205</v>
      </c>
      <c r="EH58" s="49" t="s">
        <v>205</v>
      </c>
      <c r="EI58" s="49" t="s">
        <v>205</v>
      </c>
      <c r="EJ58" s="49" t="s">
        <v>205</v>
      </c>
      <c r="EK58" s="49" t="s">
        <v>205</v>
      </c>
      <c r="EL58" s="49" t="s">
        <v>205</v>
      </c>
      <c r="EM58" s="49" t="s">
        <v>205</v>
      </c>
      <c r="EN58" s="49" t="s">
        <v>205</v>
      </c>
      <c r="EO58" s="49" t="s">
        <v>205</v>
      </c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x14ac:dyDescent="0.25">
      <c r="A59" s="41"/>
      <c r="Z59" s="40" t="s">
        <v>157</v>
      </c>
      <c r="AA59" s="59"/>
      <c r="AB59" s="60"/>
      <c r="AC59" s="40" t="s">
        <v>4</v>
      </c>
      <c r="AD59" s="40"/>
      <c r="AE59" s="40"/>
      <c r="AF59" s="40"/>
      <c r="AG59" s="40"/>
      <c r="AH59" s="40" t="s">
        <v>4</v>
      </c>
      <c r="AI59" s="61"/>
      <c r="AJ59" s="41"/>
      <c r="AK59" s="41"/>
      <c r="AZ59" s="41"/>
      <c r="BB59" s="41"/>
      <c r="BC59" s="41"/>
      <c r="BE59" s="41"/>
      <c r="BI59" s="41"/>
      <c r="BT59" s="48"/>
      <c r="BU59" s="47"/>
      <c r="CG59" s="48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1"/>
      <c r="CS59" s="41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1"/>
      <c r="DF59" s="40"/>
      <c r="DG59" s="40"/>
      <c r="DH59" s="40"/>
      <c r="DI59" s="40"/>
      <c r="DJ59" s="40"/>
      <c r="DK59" s="41"/>
      <c r="DL59" s="40"/>
      <c r="DM59" s="40"/>
      <c r="DN59" s="40"/>
      <c r="DO59" s="40"/>
      <c r="DP59" s="41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</row>
    <row r="60" spans="1:255" x14ac:dyDescent="0.25">
      <c r="A60" s="41" t="s">
        <v>206</v>
      </c>
      <c r="B60" s="40">
        <f>11103.34+6421.16+8229.5+8729.5+3507+579.08+3527.16+2500.16</f>
        <v>44596.900000000009</v>
      </c>
      <c r="C60" s="40">
        <f>10885.58+6234.08+7698.08+7989.74+2883.38+3404.84+562.16+3424.42+2427.42</f>
        <v>45509.7</v>
      </c>
      <c r="D60" s="40">
        <f>11103.34+6421.16+8229.5+8229.5+3507+579.08+3527.16+2500.16</f>
        <v>44096.900000000009</v>
      </c>
      <c r="E60" s="40">
        <f>10885.58+6234.08+7698.08+7989.74+3404.84+562.16+3424.42+2427.42</f>
        <v>42626.319999999992</v>
      </c>
      <c r="F60" s="40">
        <f>11103.34+6421.16+8229.5+8229.5+3507+579.08+3527.16+2500.16</f>
        <v>44096.900000000009</v>
      </c>
      <c r="G60" s="40">
        <f>10885.58+6234.08+8406.46+7989.74+3404.84+562.16+4424.42+2427.42</f>
        <v>44334.7</v>
      </c>
      <c r="H60" s="40">
        <f>11103.34+6421.16+8229.5+8229.5+3507+579.08+3527.16+2500.16</f>
        <v>44096.900000000009</v>
      </c>
      <c r="I60" s="40">
        <f>10885.58+6234.08+7989.76+7989.74+3404.84+562.16+3424.42+2427.42</f>
        <v>42918</v>
      </c>
      <c r="J60" s="40">
        <f>11103.34+6421.16+8229.5+8229.5+3507+579.08+3527.16+2500.16</f>
        <v>44096.900000000009</v>
      </c>
      <c r="K60" s="40">
        <f>10885.58+6234.08+7989.76+7989.74+3404.84+562.16+3424.42+2427.42</f>
        <v>42918</v>
      </c>
      <c r="L60" s="40">
        <f>11103.34+6421.16+8229.5+8229.5+3507+579.08+3527.16+2500.16</f>
        <v>44096.900000000009</v>
      </c>
      <c r="M60" s="40">
        <f>10885.58+6234.08+7989.76+7989.74+3404.84+562.16+3424.42+2427.42</f>
        <v>42918</v>
      </c>
      <c r="N60" s="40">
        <f>11103.34+6421.16+8229.5+8229.5+3507+579.08+3527.16+2500.16</f>
        <v>44096.900000000009</v>
      </c>
      <c r="O60" s="40">
        <v>42918</v>
      </c>
      <c r="P60" s="40">
        <f>6421.16+8229.5+8229.5+12000+3507+712.71+3527.16+2500.16</f>
        <v>45127.19</v>
      </c>
      <c r="Q60" s="40">
        <f>10885.58+6234.08+7989.76+7989.74+3404.84+562.16+3424.42+2427.42</f>
        <v>42918</v>
      </c>
      <c r="R60" s="40">
        <f>6421.16+8229.5+8229.5+12000+3507+579.08+3527.16+2500.16</f>
        <v>44993.560000000012</v>
      </c>
      <c r="S60" s="40">
        <f>10885.58+6234.08+7989.76+7989.74+3404.84+605.4+3424.42+2427.42</f>
        <v>42961.24</v>
      </c>
      <c r="T60" s="40">
        <f>2277.6+8229.5+8229.5+12000+3507+579.08+3527.16+2500.16</f>
        <v>40850</v>
      </c>
      <c r="U60" s="40">
        <f>10885.58+6234.08+7989.76+7989.74+3404.84+562.16+3424.42+2427.42</f>
        <v>42918</v>
      </c>
      <c r="V60" s="40">
        <f>9229.5+9229.5+13000+4257+779.12+3927.24+3000.24</f>
        <v>43422.6</v>
      </c>
      <c r="W60" s="40">
        <f>11385.62+9734.12+8489.64+8489.86+3904.76+687.24+3774.38+2827.38</f>
        <v>49293</v>
      </c>
      <c r="X60" s="40">
        <f>8229.5+8229.5+12000+3507+579.08+3527.16+2500.16</f>
        <v>38572.400000000009</v>
      </c>
      <c r="Y60" s="40">
        <f>10885.58+6234.08+7989.76+7989.76+3404.84+562.16+3424.42+2427.42</f>
        <v>42918.020000000004</v>
      </c>
      <c r="Z60" s="40">
        <f>X60-Y60</f>
        <v>-4345.6199999999953</v>
      </c>
      <c r="AA60" s="107">
        <v>551295</v>
      </c>
      <c r="AB60" s="60">
        <v>567076</v>
      </c>
      <c r="AC60" s="40" t="s">
        <v>4</v>
      </c>
      <c r="AD60" s="40">
        <f t="shared" ref="AD60:AD79" si="34">+B60+D60+F60+H60+J60+L60+N60+P60+R60+T60+V60+X60</f>
        <v>522144.0500000001</v>
      </c>
      <c r="AE60" s="40">
        <f>+AI60/12*A108</f>
        <v>540539</v>
      </c>
      <c r="AF60" s="40">
        <f t="shared" ref="AF60:AF79" si="35">+AD60-AE60</f>
        <v>-18394.949999999895</v>
      </c>
      <c r="AG60" s="40">
        <f t="shared" ref="AG60:AG79" si="36">+C60+E60+G60+I60+K60+M60+O60+Q60+S60+U60+W60+Y60</f>
        <v>525150.98</v>
      </c>
      <c r="AH60" s="40" t="s">
        <v>4</v>
      </c>
      <c r="AI60" s="61">
        <v>540539</v>
      </c>
      <c r="AJ60" s="62">
        <f t="shared" ref="AJ60:AJ80" si="37">+AD60/AI60</f>
        <v>0.96596924551234986</v>
      </c>
      <c r="AK60" s="62"/>
      <c r="AL60" s="40">
        <f>10672.08+6052.5+7923.66+7757+1582.08+3305.66+545.76+3324.66+2356.66</f>
        <v>43520.06</v>
      </c>
      <c r="AM60" s="40">
        <f>11172.09+6552.5+8256.93+8257.07+1832.09+3805.67+670.64+3674.67+2756.67</f>
        <v>46978.329999999987</v>
      </c>
      <c r="AN60" s="40">
        <f>10672.09+6052.5+7757.01+7756.99+1582.09+3305.67+545.76+3324.67+2356.67</f>
        <v>43353.44999999999</v>
      </c>
      <c r="AO60" s="40">
        <f>10672.09+6052.5+7757.01+7756.99+1582.09+3305.67+545.76+3324.67+2356.67</f>
        <v>43353.44999999999</v>
      </c>
      <c r="AP60" s="40">
        <f>10672.09+6052.5+7757.01+7756.99+1582.09+3305.67+545.76+3324.67+2356.67</f>
        <v>43353.44999999999</v>
      </c>
      <c r="AQ60" s="40">
        <f>10672.08+6052.5+7757.01+7756.99+1582.08+3305.67+545.76+3324.67+2356.67</f>
        <v>43353.43</v>
      </c>
      <c r="AR60" s="40">
        <f>10672.08+6052.5+7757.01+7756.99+1582.08+3305.67+545.76+3324.67+2356.67</f>
        <v>43353.43</v>
      </c>
      <c r="AS60" s="40">
        <f>10672.08+6052.5+7757.01+7756.99+1582.08+3305.67+545.76+3324.67+2356.67</f>
        <v>43353.43</v>
      </c>
      <c r="AT60" s="40">
        <f>10672.08+6052.5+7757.01+7756.99+4582.08+3305.67+545.76+3324.67+2356.67</f>
        <v>46353.43</v>
      </c>
      <c r="AU60" s="40">
        <f>10672.08+6052.5+7757+7757+1582.08+3305.66+545.76+3324.66+2356.66</f>
        <v>43353.400000000009</v>
      </c>
      <c r="AV60" s="68">
        <f>10672.08+6052.5+7757+7757+1582.08+3305.66+545.76+3324.66+2356.66</f>
        <v>43353.400000000009</v>
      </c>
      <c r="AW60" s="40">
        <f>10672.08+6052.5+7757+7757+1582.08+3305.66+545.76+3324.66+2356.66</f>
        <v>43353.400000000009</v>
      </c>
      <c r="AX60" s="40">
        <f>10462.76+5876.16+7531+7531+1536+3209.42+529.84+3227.84+2288</f>
        <v>42192.01999999999</v>
      </c>
      <c r="AY60" s="40">
        <f>10962.64+6376.24+8031+8031+1786+3709.38+654.76+3577.76+2688</f>
        <v>45816.78</v>
      </c>
      <c r="AZ60" s="40">
        <f t="shared" ref="AZ60:BE60" si="38">10462.76+5876.16+7531+7531+1536+3209.42+529.84+3227.84+2288</f>
        <v>42192.01999999999</v>
      </c>
      <c r="BA60" s="40">
        <f t="shared" si="38"/>
        <v>42192.01999999999</v>
      </c>
      <c r="BB60" s="40">
        <f t="shared" si="38"/>
        <v>42192.01999999999</v>
      </c>
      <c r="BC60" s="40">
        <f t="shared" si="38"/>
        <v>42192.01999999999</v>
      </c>
      <c r="BD60" s="40">
        <f t="shared" si="38"/>
        <v>42192.01999999999</v>
      </c>
      <c r="BE60" s="40">
        <f t="shared" si="38"/>
        <v>42192.01999999999</v>
      </c>
      <c r="BF60" s="40">
        <f>10462.76+5876.16+7531+7531+1536+3209.42+529.84+3227.84</f>
        <v>39904.01999999999</v>
      </c>
      <c r="BG60" s="40">
        <f>10462.76+5876.16+7531+7531+1536+3209.42+1514.18+529.84+3227.84</f>
        <v>41418.199999999997</v>
      </c>
      <c r="BH60" s="40">
        <f>10462.76+5876.16+7531+7531+1536+3209.42+1576.96+529.84+3227.84</f>
        <v>41480.979999999996</v>
      </c>
      <c r="BI60" s="79">
        <f>10462.76+5876.16+7531+7531+1536+3209.42+2313.16+529.84+3227.84</f>
        <v>42217.179999999993</v>
      </c>
      <c r="BJ60" s="48">
        <f>10257.58+5705+7311.6+7311.58+1491.26+3115.92+2245.76+514.34+3133.84</f>
        <v>41086.880000000005</v>
      </c>
      <c r="BK60" s="40">
        <f>10257.62+5705+8811.4+7311.4+1491.14+3115.88+2245.64+514.26+3133.76</f>
        <v>42586.1</v>
      </c>
      <c r="BL60" s="40">
        <f>10757.58+6205+7811.6+7811.6+1741.26+6115.92+2645.76+639.34+3483.84</f>
        <v>47211.899999999994</v>
      </c>
      <c r="BM60" s="40">
        <f>10257.58+5705+7311.6+7311.6+1491.26+3115.92+2245.76+514.34+3133.84</f>
        <v>41086.899999999994</v>
      </c>
      <c r="BN60" s="48">
        <f>10257.58+5705+7311.6+7311.6+1491.26+3115.92+4245.76+514.34+3133.84</f>
        <v>43086.899999999994</v>
      </c>
      <c r="BO60" s="40">
        <f t="shared" ref="BO60:BU60" si="39">10257.58+5705+7311.6+7311.6+1491.26+3115.92+2245.76+514.34+3133.84</f>
        <v>41086.899999999994</v>
      </c>
      <c r="BP60" s="40">
        <f t="shared" si="39"/>
        <v>41086.899999999994</v>
      </c>
      <c r="BQ60" s="47">
        <f t="shared" si="39"/>
        <v>41086.899999999994</v>
      </c>
      <c r="BR60" s="40">
        <f t="shared" si="39"/>
        <v>41086.899999999994</v>
      </c>
      <c r="BS60" s="48">
        <f t="shared" si="39"/>
        <v>41086.899999999994</v>
      </c>
      <c r="BT60" s="48">
        <f t="shared" si="39"/>
        <v>41086.899999999994</v>
      </c>
      <c r="BU60" s="47">
        <f t="shared" si="39"/>
        <v>41086.899999999994</v>
      </c>
      <c r="BV60" s="40">
        <f>9958.76+5538.84+7098.6+6803.18+1447.84+3025.16+2180.34+499.34+3042.58</f>
        <v>39594.639999999999</v>
      </c>
      <c r="BW60" s="48">
        <f>10458.64+6038.76+245+7598.4+7598.47+1697.76+3525.24+2580.26+624.26+3392.62</f>
        <v>43759.410000000011</v>
      </c>
      <c r="BX60" s="40">
        <f>9958.76+5538.84+7098.6+7098.59+1447.84+3025.16+2180.34+499.34+3042.58</f>
        <v>39890.050000000003</v>
      </c>
      <c r="BY60" s="40">
        <f>9958.76+5538.84+7098.6+7098.59+1447.84+3025.16+2180.34+499.34+3042.58</f>
        <v>39890.050000000003</v>
      </c>
      <c r="BZ60" s="40">
        <f>9958.76+5538.84+7098.6+7098.59+1447.84+3025.16+2180.34+499.34+3042.58</f>
        <v>39890.050000000003</v>
      </c>
      <c r="CA60" s="48">
        <f>9958.76+5538.84+175+7098.6+7098.59+1447.84+3025.16+2180.34+499.34+3042.58</f>
        <v>40065.050000000003</v>
      </c>
      <c r="CB60" s="40">
        <f>9958.76+5538.84+7098.6+7098.59+1447.84+3025.16+2180.34+499.34+3042.58</f>
        <v>39890.050000000003</v>
      </c>
      <c r="CC60" s="40">
        <f>9958.76+5538.84+7098.6+7098.59+1447.84+3025.16+2180.34+499.34+3042.58</f>
        <v>39890.050000000003</v>
      </c>
      <c r="CD60" s="47">
        <f>9958.76+5538.84+630+7098.6+7098.59+1447.84+3025.16+2180.34+499.34+3042.58</f>
        <v>40520.050000000003</v>
      </c>
      <c r="CE60" s="40">
        <f>3042.58+499.34+2180.34+3025.16+1447.84+7098.6+7098.6+5538.84+9958.76</f>
        <v>39890.06</v>
      </c>
      <c r="CF60" s="48">
        <f>9958.76+5538.84+525+7098.6+7098.6+1447.84+3025.16+2180.34+499.34+3042.58</f>
        <v>40415.06</v>
      </c>
      <c r="CG60" s="48">
        <f>9958.76+5538.84+7580.84+7098.6+1447.84+3025.16+2180.34+499.34+3042.58</f>
        <v>40372.300000000003</v>
      </c>
      <c r="CH60" s="40">
        <f>9668.66+5377.5+7360+6891.76+1405.66+2937.08+2116.84+484.76+4147.07</f>
        <v>40389.33</v>
      </c>
      <c r="CI60" s="40">
        <f>10068.74+8277.5+7760+7291.64+1605.74+3337.12+2436.76+584.64+3233.88</f>
        <v>44596.02</v>
      </c>
      <c r="CJ60" s="40">
        <f t="shared" ref="CJ60:CP60" si="40">9668.66+5377.5+7360+6891.76+1405.66+2937.08+2116.84+484.76+2953.92</f>
        <v>39196.18</v>
      </c>
      <c r="CK60" s="40">
        <f t="shared" si="40"/>
        <v>39196.18</v>
      </c>
      <c r="CL60" s="40">
        <f t="shared" si="40"/>
        <v>39196.18</v>
      </c>
      <c r="CM60" s="40">
        <f t="shared" si="40"/>
        <v>39196.18</v>
      </c>
      <c r="CN60" s="40">
        <f t="shared" si="40"/>
        <v>39196.18</v>
      </c>
      <c r="CO60" s="40">
        <f t="shared" si="40"/>
        <v>39196.18</v>
      </c>
      <c r="CP60" s="40">
        <f t="shared" si="40"/>
        <v>39196.18</v>
      </c>
      <c r="CQ60" s="40">
        <f>9668.66+5377.5+7360+6891.76+1405.66+2937.08+2116.84+484.76+3453.92</f>
        <v>39696.18</v>
      </c>
      <c r="CR60" s="40">
        <f>9668.66+5377.5+7360+6891.76+1405.66+2937.08+2116.84+484.76+2953.92</f>
        <v>39196.18</v>
      </c>
      <c r="CS60" s="48">
        <f>9668.66+5377.5+7360+6891.76+1405.66+2937.08+2116.84+484.76+2953.92</f>
        <v>39196.18</v>
      </c>
      <c r="CT60" s="40">
        <f>9387+5220.84+7145.58+6757.68+1364.76+2851.5+2055.16+470.58+2867.92</f>
        <v>38121.019999999997</v>
      </c>
      <c r="CU60" s="40">
        <f>9787+5620.76+7545.62+7091+1564.64+3251.5+2375.24+570.62+3147.88</f>
        <v>40954.26</v>
      </c>
      <c r="CV60" s="40">
        <f>9387+5220.84+7145.58+6691+1364.76+2851.5+2055.16+470.58+2867.92</f>
        <v>38054.339999999997</v>
      </c>
      <c r="CW60" s="40">
        <f>9387+5220.84+7145.58+6691+1364.76+2851.5+2055.16+470.58+2867.92</f>
        <v>38054.339999999997</v>
      </c>
      <c r="CX60" s="40">
        <f>9387+5220.84+7145.58+6691+1364.76+2851.5+2055.16+470.58+500+2867.92</f>
        <v>38554.339999999997</v>
      </c>
      <c r="CY60" s="40">
        <f>9387+5220.84+7145.58+6691+1364.76+2851.5+2055.16+470.58+1000+2867.92</f>
        <v>39054.339999999997</v>
      </c>
      <c r="CZ60" s="40">
        <f>9387+5220.84+7145.58+6691+1364.76+2851.5+2055.16+470.58+1000+2867.92</f>
        <v>39054.339999999997</v>
      </c>
      <c r="DA60" s="40">
        <f>9387+5220.84+7145.58+6691+1364.76+2851.5+2055.16+470.58+250+2867.92</f>
        <v>38304.339999999997</v>
      </c>
      <c r="DB60" s="40">
        <f>9387+5220.84+7145.58+6691+3864.76+2851.5+2055.16+470.58+2867.92</f>
        <v>40554.339999999997</v>
      </c>
      <c r="DC60" s="40">
        <f>9387+5220.84+7145.58+6691+1364.76+2851.5+2055.16+470.58+2867.92</f>
        <v>38054.339999999997</v>
      </c>
      <c r="DD60" s="40">
        <f>9387+5220.84+7145.58+6691+1364.76+2851.5+2055.16+470.58+2867.92</f>
        <v>38054.339999999997</v>
      </c>
      <c r="DE60" s="40">
        <f>9387+5220.84+7145.58+6691+1364.76+2851.5+2055.16+470.58+2867.92</f>
        <v>38054.339999999997</v>
      </c>
      <c r="DF60" s="40">
        <f>9113.58+5068.76+6937.42+987.41+6596.08+1325+2768.5+1995.34+456.84+2784.34+1000</f>
        <v>39033.26999999999</v>
      </c>
      <c r="DG60" s="40">
        <f>9513.62+5468.64+7337.38+1300+6896.12+1525+3168.5+2315.26+556.76+3064.26</f>
        <v>41145.540000000008</v>
      </c>
      <c r="DH60" s="40">
        <f>9113.58+5068.76+6937.42+900+6496.08+1325+2768.5+1995.34+456.84+2784.34</f>
        <v>37845.86</v>
      </c>
      <c r="DI60" s="40">
        <f>9113.58+5068.76+6937.42+900+6496.08+1325+2768.5+1995.34+456.84+2784.34</f>
        <v>37845.86</v>
      </c>
      <c r="DJ60" s="40">
        <f>9113.58+5068.76+6937.42+900+6496.08+1325+2768.5+1995.34+456.84+2784.34</f>
        <v>37845.86</v>
      </c>
      <c r="DK60" s="40">
        <f>9113.58+5068.76+6937.42+900+6496.08+1325+2768.5+1995.34+456.84+2784.34</f>
        <v>37845.86</v>
      </c>
      <c r="DL60" s="40">
        <f>9113.58+5068.76+6937.42+900+6496.08+1325+2768.5+1995.34+456.84+2784.34</f>
        <v>37845.86</v>
      </c>
      <c r="DM60" s="40">
        <f>9113.58+5068.76+6937.42+400+6496.08+1325+2768.5+1995.34+456.84+2784.34</f>
        <v>37345.86</v>
      </c>
      <c r="DN60" s="40">
        <f>9113.58+5068.76+6937.42+748.88+6496.08+1325+2768.5+1995.34+456.84+2784.34</f>
        <v>37694.739999999991</v>
      </c>
      <c r="DO60" s="40">
        <f>9113.58+5068.76+6937.42+1000+6496.08+1325+2768.5+1995.34+456.84+2784.34</f>
        <v>37945.86</v>
      </c>
      <c r="DP60" s="40">
        <f>9113.58+5068.76+6937.42+1000+6496.08+1325+2768.5+1995.34+456.84+2784.34</f>
        <v>37945.86</v>
      </c>
      <c r="DQ60" s="40">
        <f>2784.34+456.84+1995.34+2768.5+1325+6496.08+1000+6937.42+5068.76+9113.58</f>
        <v>37945.86</v>
      </c>
      <c r="DR60" s="40">
        <f>8848.08+4921.08+7568.66+1295.9+6348.5+1286.34+2687.84+1937.26+443.5+2703.26</f>
        <v>38040.420000000006</v>
      </c>
      <c r="DS60" s="40">
        <f>9248.12+5321.12+7135.48+2695.9+7706.76+1486.26+5087.76+2257.14+543.5+2983.14</f>
        <v>44465.180000000008</v>
      </c>
      <c r="DT60" s="40">
        <f>8848.08+4921.08+6735.32+1295.9+6306.84+1286.34+2687.84+1937.26+443.5+2703.26</f>
        <v>37165.420000000006</v>
      </c>
      <c r="DU60" s="40">
        <f>8848.08+4921.08+6735.32+1295.9+6306.84+1286.34+2687.84+1937.26+443.5+2703.26</f>
        <v>37165.420000000006</v>
      </c>
      <c r="DV60" s="40">
        <f>8848.08+4921.08+6735.32+1295.9+6306.84+1286.34+2687.84+3437.26+443.5+2703.26</f>
        <v>38665.420000000006</v>
      </c>
      <c r="DW60" s="40">
        <f>8848.08+4921.08+6735.32+1295.9+6306.84+1286.34+2687.84+1937.26+443.5+2703.26</f>
        <v>37165.420000000006</v>
      </c>
      <c r="DX60" s="40">
        <f>8848.08+4921.08+6735.32+1295.9+6306.84+1286.34+2687.84+1937.26+443.5+2703.26</f>
        <v>37165.420000000006</v>
      </c>
      <c r="DY60" s="40">
        <f>8848.08+4921.08+6735.32+1295.9+6306.84+1286.34+2687.84+1937.26+443.5+2703.26</f>
        <v>37165.420000000006</v>
      </c>
      <c r="DZ60" s="40">
        <f>8848.08+4921.08+6735.32+1295.9+6306.84+1286.34+2687.84+1937.26+443.5+2703.26</f>
        <v>37165.420000000006</v>
      </c>
      <c r="EA60" s="40">
        <f>8848.08+4921.08+8235.32+1295.9+6306.84+1286.34+2687.84+1937.26+443.5+2703.26</f>
        <v>38665.420000000006</v>
      </c>
      <c r="EB60" s="40">
        <f>8848.08+4921.08+6735.32+1189.84+6306.84+1286.34+2687.84+1937.26+443.5+2703.26</f>
        <v>37059.360000000001</v>
      </c>
      <c r="EC60" s="40">
        <f>8848.08+4957.58+6735.32+1189.84+6306.84+1286.34+2687.84+1937.26+443.5+2703.26</f>
        <v>37095.86</v>
      </c>
      <c r="ED60" s="40">
        <v>36425.019999999997</v>
      </c>
      <c r="EE60" s="40">
        <v>39484.82</v>
      </c>
      <c r="EF60" s="40">
        <v>36265.019999999997</v>
      </c>
      <c r="EG60" s="40">
        <v>36265.019999999997</v>
      </c>
      <c r="EH60" s="40">
        <v>36265.019999999997</v>
      </c>
      <c r="EI60" s="40">
        <v>36265.019999999997</v>
      </c>
      <c r="EJ60" s="40">
        <v>36265.019999999997</v>
      </c>
      <c r="EK60" s="40">
        <v>36265.019999999997</v>
      </c>
      <c r="EL60" s="40">
        <v>36265.019999999997</v>
      </c>
      <c r="EM60" s="40">
        <v>36265.019999999997</v>
      </c>
      <c r="EN60" s="40">
        <v>36265.019999999997</v>
      </c>
      <c r="EO60" s="40">
        <f>8590.34+4777.76+6539.08+1442.92+6120.58+1248.92+2609.58+1880.76+430.58+2624.5</f>
        <v>36265.020000000004</v>
      </c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</row>
    <row r="61" spans="1:255" x14ac:dyDescent="0.25">
      <c r="A61" s="41" t="s">
        <v>207</v>
      </c>
      <c r="B61" s="40">
        <f>2557.39+1859.76+3248.2+3248.2+1663.55+1666.55+1918.52+78.65-5222.14</f>
        <v>11018.679999999997</v>
      </c>
      <c r="C61" s="40">
        <v>12391.57</v>
      </c>
      <c r="D61" s="40">
        <f>2557.39+1859.76+3248.2+3248.2+1663.55+1666.55+1918.52+756.34+490-5222.14</f>
        <v>12186.369999999999</v>
      </c>
      <c r="E61" s="40">
        <f>2544.38+1828.05+3145.42+3145.42+1604.34+1607.36+1834.82+79.64+11.32+347.28-5082.7</f>
        <v>11065.330000000002</v>
      </c>
      <c r="F61" s="40">
        <f>2557.39+1859.76+3248.2+3248.2+1663.55+1666.55+1918.52-5222.14</f>
        <v>10940.029999999999</v>
      </c>
      <c r="G61" s="40">
        <v>12537.64</v>
      </c>
      <c r="H61" s="40">
        <f>2557.39+1859.76+3248.2+3248.2+1663.55+1666.55+1918.52-5222.14</f>
        <v>10940.029999999999</v>
      </c>
      <c r="I61" s="40">
        <f>2544.38+1828.05+3145.42+3145.42+1604.34+1607.36+1834.82+258.49+263.28-372.31-5082.7</f>
        <v>10776.550000000003</v>
      </c>
      <c r="J61" s="40">
        <f>2557.39+1859.76+3248.2+3248.2+1663.55+1666.55+1918.52-5222.14+197+579.77+237.2</f>
        <v>11954</v>
      </c>
      <c r="K61" s="40">
        <f>2544.38+1828.05+3145.42+3145.42+1604.34+1607.36+1834.82+556.65-5082.7</f>
        <v>11183.740000000002</v>
      </c>
      <c r="L61" s="40">
        <f>2479.67+1814.81+3190.59+3190.59+1639+1641.86+1901.02-5222.14</f>
        <v>10635.400000000001</v>
      </c>
      <c r="M61" s="40">
        <v>10700.42</v>
      </c>
      <c r="N61" s="40">
        <f>2479.67+1814.81+3190.59+3190.59+1639+1641.86+1901.02+816.66+273-5222.14</f>
        <v>11725.060000000001</v>
      </c>
      <c r="O61" s="40">
        <v>10789.01</v>
      </c>
      <c r="P61" s="40">
        <f>1814.81+3190.59+3190.59+1639+1167.86+1901.02+170+980-4571.28</f>
        <v>9482.59</v>
      </c>
      <c r="Q61" s="40">
        <v>10627.09</v>
      </c>
      <c r="R61" s="40">
        <f>1814.81+3190.59+3190.59+1639+1167.86+1901.02-4029.96</f>
        <v>8873.91</v>
      </c>
      <c r="S61" s="40">
        <f>2544.38+1828.05+3145.42+3145.42+2180.7+1607.36+1834.82-5082.7</f>
        <v>11203.45</v>
      </c>
      <c r="T61" s="40">
        <f>1814.81+3190.59+3190.59+1639+1167.86+1901.02+89.63+177.13-4029.96</f>
        <v>9140.6699999999983</v>
      </c>
      <c r="U61" s="40">
        <f>2544.38+1828.05+3145.42+4545.42+1604.34+1607.36+1834.82+105.07-5082.7</f>
        <v>12132.16</v>
      </c>
      <c r="V61" s="40">
        <f>3190.59+3190.59+1165+1167.86+1901.02-3992.46</f>
        <v>6622.6000000000013</v>
      </c>
      <c r="W61" s="40">
        <f>2544.38+1828.05+3145.42+3145.42+1604.34+1607.36+1834.82+980-5082.7</f>
        <v>11607.09</v>
      </c>
      <c r="X61" s="40">
        <f>3279.59+3279.59+2219.77+1185.56+1965.02+820.23+1120-4183.08</f>
        <v>9686.68</v>
      </c>
      <c r="Y61" s="40">
        <f>2524.95+1831.88+3212.48+3212.48+1648.31+1651.24+1907.68-5082.7</f>
        <v>10906.32</v>
      </c>
      <c r="Z61" s="40">
        <f t="shared" ref="Z61:Z79" si="41">X61-Y61</f>
        <v>-1219.6399999999994</v>
      </c>
      <c r="AA61" s="107">
        <v>165338</v>
      </c>
      <c r="AB61" s="112">
        <v>170779</v>
      </c>
      <c r="AC61" s="40" t="s">
        <v>4</v>
      </c>
      <c r="AD61" s="40">
        <f t="shared" si="34"/>
        <v>123206.01999999999</v>
      </c>
      <c r="AE61" s="40">
        <f>+AI61/12*A108</f>
        <v>165120</v>
      </c>
      <c r="AF61" s="40">
        <f t="shared" si="35"/>
        <v>-41913.98000000001</v>
      </c>
      <c r="AG61" s="40">
        <f t="shared" si="36"/>
        <v>135920.37</v>
      </c>
      <c r="AH61" s="40" t="s">
        <v>4</v>
      </c>
      <c r="AI61" s="61">
        <v>165120</v>
      </c>
      <c r="AJ61" s="62">
        <f t="shared" si="37"/>
        <v>0.74616048934108525</v>
      </c>
      <c r="AK61" s="62"/>
      <c r="AL61" s="40">
        <f>80.6+980+11284.45</f>
        <v>12345.050000000001</v>
      </c>
      <c r="AM61" s="40">
        <f>11649.31+580.27+645.29</f>
        <v>12874.869999999999</v>
      </c>
      <c r="AN61" s="40">
        <v>11649.31</v>
      </c>
      <c r="AO61" s="40">
        <f>11649.31+262.55+700</f>
        <v>12611.859999999999</v>
      </c>
      <c r="AP61" s="40">
        <v>11649.31</v>
      </c>
      <c r="AQ61" s="40">
        <f>11649.31+406.29+557.18+1400</f>
        <v>14012.78</v>
      </c>
      <c r="AR61" s="40">
        <f>11649.31+864</f>
        <v>12513.31</v>
      </c>
      <c r="AS61" s="40">
        <v>11649.31</v>
      </c>
      <c r="AT61" s="40">
        <f>11649.31+10+474.71</f>
        <v>12134.019999999999</v>
      </c>
      <c r="AU61" s="40">
        <f>12781.31+299+91</f>
        <v>13171.31</v>
      </c>
      <c r="AV61" s="68">
        <f>12781.31+1020.4+1400+20</f>
        <v>15221.71</v>
      </c>
      <c r="AW61" s="40">
        <f>12781.31+8.71</f>
        <v>12790.019999999999</v>
      </c>
      <c r="AX61" s="40">
        <f>13204.49+758.28</f>
        <v>13962.77</v>
      </c>
      <c r="AY61" s="40">
        <f>12503.49+1159.25+700+980</f>
        <v>15342.74</v>
      </c>
      <c r="AZ61" s="40">
        <f>12503.49+109.35</f>
        <v>12612.84</v>
      </c>
      <c r="BA61" s="40">
        <f>12503.49+231.76+3.41+653.34</f>
        <v>13392</v>
      </c>
      <c r="BB61" s="40">
        <f>12503.49+74.52+401</f>
        <v>12979.01</v>
      </c>
      <c r="BC61" s="40">
        <v>12819.49</v>
      </c>
      <c r="BD61" s="40">
        <f>12819.49+224.62</f>
        <v>13044.11</v>
      </c>
      <c r="BE61" s="40">
        <f>12819.49+62.06+422.05</f>
        <v>13303.599999999999</v>
      </c>
      <c r="BF61" s="40">
        <f>172.34+377.17+10918.97</f>
        <v>11468.48</v>
      </c>
      <c r="BG61" s="40">
        <f>9344+1250.63+125.06+291.81+316.99</f>
        <v>11328.49</v>
      </c>
      <c r="BH61" s="40">
        <f>3.19+600.78+11011.5</f>
        <v>11615.47</v>
      </c>
      <c r="BI61" s="79">
        <f>1400+208.36+11011.5</f>
        <v>12619.86</v>
      </c>
      <c r="BJ61" s="40">
        <f>10966.91+207.15+681.72+980</f>
        <v>12835.779999999999</v>
      </c>
      <c r="BK61" s="40">
        <f>11177.31+100.86</f>
        <v>11278.17</v>
      </c>
      <c r="BL61" s="40">
        <f>11177.31+433.74+92.42</f>
        <v>11703.47</v>
      </c>
      <c r="BM61" s="40">
        <f>11177.31+355.48+521.68</f>
        <v>12054.47</v>
      </c>
      <c r="BN61" s="48">
        <f>180.39+424.2+11177.31</f>
        <v>11781.9</v>
      </c>
      <c r="BO61" s="40">
        <f>11177.31+605.91</f>
        <v>11783.22</v>
      </c>
      <c r="BP61" s="40">
        <f>29.66+137+11177.31</f>
        <v>11343.97</v>
      </c>
      <c r="BQ61" s="47">
        <f>11177.31+260.35+171.94+382.95</f>
        <v>11992.550000000001</v>
      </c>
      <c r="BR61" s="40">
        <f>10784.77+100+47+717.55</f>
        <v>11649.32</v>
      </c>
      <c r="BS61" s="48">
        <f>11640.77+34.21+258.8+178.32+86.74</f>
        <v>12198.839999999998</v>
      </c>
      <c r="BT61" s="48">
        <f>11640.77+212.28+591.84+212.76</f>
        <v>12657.650000000001</v>
      </c>
      <c r="BU61" s="47">
        <f>11640.77+222.76</f>
        <v>11863.53</v>
      </c>
      <c r="BV61" s="40">
        <f>980+11582.04+700+5.05+105+100</f>
        <v>13472.09</v>
      </c>
      <c r="BW61" s="40">
        <f>10431.87+593.57</f>
        <v>11025.44</v>
      </c>
      <c r="BX61" s="40">
        <f>10431.87+300</f>
        <v>10731.87</v>
      </c>
      <c r="BY61" s="40">
        <v>10431.870000000001</v>
      </c>
      <c r="BZ61" s="40">
        <f>9037-180.74+984.76+315.12+275.73+216.69</f>
        <v>10648.560000000001</v>
      </c>
      <c r="CA61" s="48">
        <v>10929.71</v>
      </c>
      <c r="CB61" s="40">
        <f>10929.71+206+238.19</f>
        <v>11373.9</v>
      </c>
      <c r="CC61" s="40">
        <f>11195.29+245.26+180.64+120</f>
        <v>11741.19</v>
      </c>
      <c r="CD61" s="47">
        <f>10432.87+396.04+89</f>
        <v>10917.910000000002</v>
      </c>
      <c r="CE61" s="40">
        <f>11391.61+1015.95+630.28</f>
        <v>13037.840000000002</v>
      </c>
      <c r="CF61" s="48">
        <f>11391.61+368.44+79+184.85</f>
        <v>12023.900000000001</v>
      </c>
      <c r="CG61" s="48">
        <f>10851.91+250.41</f>
        <v>11102.32</v>
      </c>
      <c r="CH61" s="40">
        <f>10780.35+700+226.51+450.2</f>
        <v>12157.060000000001</v>
      </c>
      <c r="CI61" s="40">
        <f>8624.36+980</f>
        <v>9604.36</v>
      </c>
      <c r="CJ61" s="40">
        <f>9473.13-848.77</f>
        <v>8624.3599999999988</v>
      </c>
      <c r="CK61" s="40">
        <f>8624.36-15551.42+76.92</f>
        <v>-6850.1399999999994</v>
      </c>
      <c r="CL61" s="40">
        <f>8624.36+714.86+133.91</f>
        <v>9473.130000000001</v>
      </c>
      <c r="CM61" s="40">
        <f>8624.36+260.29+172.91</f>
        <v>9057.5600000000013</v>
      </c>
      <c r="CN61" s="40">
        <f>8624.36+240.66+47</f>
        <v>8912.02</v>
      </c>
      <c r="CO61" s="40">
        <v>8624.36</v>
      </c>
      <c r="CP61" s="40">
        <v>8149.56</v>
      </c>
      <c r="CQ61" s="40">
        <f>8788.52+135.62+506.82+1400</f>
        <v>10830.960000000001</v>
      </c>
      <c r="CR61" s="40">
        <f>8788.52+8+549.52</f>
        <v>9346.0400000000009</v>
      </c>
      <c r="CS61" s="48">
        <f>8788.52+646+380</f>
        <v>9814.52</v>
      </c>
      <c r="CT61" s="40">
        <f>8749.69+171.54+459.02+980</f>
        <v>10360.250000000002</v>
      </c>
      <c r="CU61" s="40">
        <f>107.67+834.87+8016.15</f>
        <v>8958.6899999999987</v>
      </c>
      <c r="CV61" s="40">
        <f>8396.15+12</f>
        <v>8408.15</v>
      </c>
      <c r="CW61" s="40">
        <f>86.23+8396.15</f>
        <v>8482.3799999999992</v>
      </c>
      <c r="CX61" s="40">
        <v>8396.15</v>
      </c>
      <c r="CY61" s="40">
        <f>8396.15-14385.83+236.67</f>
        <v>-5753.01</v>
      </c>
      <c r="CZ61" s="40">
        <v>8396.15</v>
      </c>
      <c r="DA61" s="40">
        <f>85+8396.15</f>
        <v>8481.15</v>
      </c>
      <c r="DB61" s="40">
        <f>8396.15+177.22+456.53</f>
        <v>9029.9</v>
      </c>
      <c r="DC61" s="40">
        <f>8398.91+1400+622.35</f>
        <v>10421.26</v>
      </c>
      <c r="DD61" s="40">
        <f>314.49+112.52+8394.77</f>
        <v>8821.7800000000007</v>
      </c>
      <c r="DE61" s="40">
        <f>8394.77+142.87+208.6</f>
        <v>8746.2400000000016</v>
      </c>
      <c r="DF61" s="40">
        <f>980+8351.19+108+18</f>
        <v>9457.19</v>
      </c>
      <c r="DG61" s="40">
        <f>592.01+8</f>
        <v>600.01</v>
      </c>
      <c r="DH61" s="40">
        <f>8428.82+140</f>
        <v>8568.82</v>
      </c>
      <c r="DI61" s="40">
        <f>8428.82+4</f>
        <v>8432.82</v>
      </c>
      <c r="DJ61" s="40">
        <f>8623.82+700</f>
        <v>9323.82</v>
      </c>
      <c r="DK61" s="40">
        <f>8624.04+170.56</f>
        <v>8794.6</v>
      </c>
      <c r="DL61" s="40">
        <f>8623.82+170.87+206.21</f>
        <v>9000.9</v>
      </c>
      <c r="DM61" s="40">
        <f>8623.82-15663.61</f>
        <v>-7039.7900000000009</v>
      </c>
      <c r="DN61" s="40">
        <f>8623.82+652.35</f>
        <v>9276.17</v>
      </c>
      <c r="DO61" s="40">
        <f>8623.82+576.78+647.6</f>
        <v>9848.2000000000007</v>
      </c>
      <c r="DP61" s="40">
        <f>8730.62+1400+342.17</f>
        <v>10472.790000000001</v>
      </c>
      <c r="DQ61" s="40">
        <f>8570.12+1057.83</f>
        <v>9627.9500000000007</v>
      </c>
      <c r="DR61" s="40">
        <v>8570.1200000000008</v>
      </c>
      <c r="DS61" s="40">
        <f>8570.12+980+648.45</f>
        <v>10198.570000000002</v>
      </c>
      <c r="DT61" s="40">
        <v>8714.59</v>
      </c>
      <c r="DU61" s="40">
        <v>8714.59</v>
      </c>
      <c r="DV61" s="40">
        <f>8714.59+700</f>
        <v>9414.59</v>
      </c>
      <c r="DW61" s="40">
        <f>8714.59+316.36</f>
        <v>9030.9500000000007</v>
      </c>
      <c r="DX61" s="40">
        <f>8714.59-11806.31</f>
        <v>-3091.7199999999993</v>
      </c>
      <c r="DY61" s="40">
        <f>8714.59+179+542.03+1400</f>
        <v>10835.62</v>
      </c>
      <c r="DZ61" s="40">
        <f>8714.59+725.1</f>
        <v>9439.69</v>
      </c>
      <c r="EA61" s="40">
        <f>1500.47+883.3+816.9+1298.57+1299.23+961.62+83.3+1871.2+1045.78+407.12</f>
        <v>10167.490000000002</v>
      </c>
      <c r="EB61" s="40">
        <f>8714.59+541.61</f>
        <v>9256.2000000000007</v>
      </c>
      <c r="EC61" s="40">
        <f>8776.67+354.22</f>
        <v>9130.89</v>
      </c>
      <c r="ED61" s="40">
        <v>10603.23</v>
      </c>
      <c r="EE61" s="40">
        <v>9267.6</v>
      </c>
      <c r="EF61" s="40">
        <v>9096.5400000000009</v>
      </c>
      <c r="EG61" s="40">
        <v>8488.61</v>
      </c>
      <c r="EH61" s="40">
        <v>8529.36</v>
      </c>
      <c r="EI61" s="40">
        <v>8751.7900000000009</v>
      </c>
      <c r="EJ61" s="40">
        <v>10073.92</v>
      </c>
      <c r="EK61" s="40">
        <v>8467.81</v>
      </c>
      <c r="EL61" s="40">
        <v>8472.92</v>
      </c>
      <c r="EM61" s="40">
        <v>8868.41</v>
      </c>
      <c r="EN61" s="40">
        <v>8511.9599999999991</v>
      </c>
      <c r="EO61" s="40">
        <f>8272.4+34</f>
        <v>8306.4</v>
      </c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</row>
    <row r="62" spans="1:255" x14ac:dyDescent="0.25">
      <c r="A62" s="41" t="s">
        <v>208</v>
      </c>
      <c r="B62" s="40">
        <v>5222.1400000000003</v>
      </c>
      <c r="C62" s="40">
        <v>5278.25</v>
      </c>
      <c r="D62" s="40">
        <v>5222.1400000000003</v>
      </c>
      <c r="E62" s="40">
        <v>5082.7</v>
      </c>
      <c r="F62" s="40">
        <v>5222.1400000000003</v>
      </c>
      <c r="G62" s="40">
        <v>5082.7</v>
      </c>
      <c r="H62" s="40">
        <v>5222.1400000000003</v>
      </c>
      <c r="I62" s="40">
        <v>5082.7</v>
      </c>
      <c r="J62" s="40">
        <v>5222.1400000000003</v>
      </c>
      <c r="K62" s="40">
        <v>5082.7</v>
      </c>
      <c r="L62" s="40">
        <v>5222.1400000000003</v>
      </c>
      <c r="M62" s="40">
        <v>5082.7</v>
      </c>
      <c r="N62" s="40">
        <v>5222.1400000000003</v>
      </c>
      <c r="O62" s="40">
        <v>5082.7</v>
      </c>
      <c r="P62" s="40">
        <v>4571.28</v>
      </c>
      <c r="Q62" s="40">
        <v>5082.7</v>
      </c>
      <c r="R62" s="40">
        <v>4029.96</v>
      </c>
      <c r="S62" s="40">
        <v>5082.7</v>
      </c>
      <c r="T62" s="40">
        <v>4029.96</v>
      </c>
      <c r="U62" s="40">
        <v>5082.7</v>
      </c>
      <c r="V62" s="40">
        <v>3992.46</v>
      </c>
      <c r="W62" s="40">
        <v>5082.7</v>
      </c>
      <c r="X62" s="40">
        <v>4183.08</v>
      </c>
      <c r="Y62" s="40">
        <v>5082.7</v>
      </c>
      <c r="Z62" s="40">
        <f t="shared" si="41"/>
        <v>-899.61999999999989</v>
      </c>
      <c r="AA62" s="107">
        <v>66155</v>
      </c>
      <c r="AB62" s="60">
        <v>67192</v>
      </c>
      <c r="AC62" s="40" t="s">
        <v>4</v>
      </c>
      <c r="AD62" s="40">
        <f t="shared" si="34"/>
        <v>57361.72</v>
      </c>
      <c r="AE62" s="40">
        <f>+AI62/12*A108</f>
        <v>63570</v>
      </c>
      <c r="AF62" s="40">
        <f t="shared" si="35"/>
        <v>-6208.2799999999988</v>
      </c>
      <c r="AG62" s="40">
        <f t="shared" si="36"/>
        <v>61187.94999999999</v>
      </c>
      <c r="AH62" s="40" t="s">
        <v>4</v>
      </c>
      <c r="AI62" s="61">
        <v>63570</v>
      </c>
      <c r="AJ62" s="62">
        <f t="shared" si="37"/>
        <v>0.90233946830265854</v>
      </c>
      <c r="AK62" s="62"/>
      <c r="AL62" s="40">
        <v>5136.92</v>
      </c>
      <c r="AM62" s="40">
        <v>5136.92</v>
      </c>
      <c r="AN62" s="40">
        <v>5136.92</v>
      </c>
      <c r="AO62" s="40">
        <v>5136.92</v>
      </c>
      <c r="AP62" s="40">
        <v>5136.92</v>
      </c>
      <c r="AQ62" s="40">
        <v>5136.92</v>
      </c>
      <c r="AR62" s="40">
        <v>5136.92</v>
      </c>
      <c r="AS62" s="40">
        <v>5136.92</v>
      </c>
      <c r="AT62" s="40">
        <v>5136.92</v>
      </c>
      <c r="AU62" s="40">
        <v>5136.92</v>
      </c>
      <c r="AV62" s="68">
        <v>5136.92</v>
      </c>
      <c r="AW62" s="40">
        <v>5136.92</v>
      </c>
      <c r="AX62" s="40">
        <v>4999.46</v>
      </c>
      <c r="AY62" s="40">
        <v>4999.46</v>
      </c>
      <c r="AZ62" s="40">
        <v>4999.46</v>
      </c>
      <c r="BA62" s="40">
        <v>4999.46</v>
      </c>
      <c r="BB62" s="40">
        <v>4999.46</v>
      </c>
      <c r="BC62" s="40">
        <v>4999.46</v>
      </c>
      <c r="BD62" s="40">
        <v>4999.46</v>
      </c>
      <c r="BE62" s="40">
        <v>4999.46</v>
      </c>
      <c r="BF62" s="40">
        <v>4724.8999999999996</v>
      </c>
      <c r="BG62" s="40">
        <v>5002.4799999999996</v>
      </c>
      <c r="BH62" s="40">
        <v>5002.4799999999996</v>
      </c>
      <c r="BI62" s="68">
        <v>5002.4799999999996</v>
      </c>
      <c r="BJ62" s="40">
        <v>4868.7</v>
      </c>
      <c r="BK62" s="40">
        <v>4868.7</v>
      </c>
      <c r="BL62" s="40">
        <v>4868.7</v>
      </c>
      <c r="BM62" s="40">
        <v>4868.7</v>
      </c>
      <c r="BN62" s="48">
        <v>4868.7</v>
      </c>
      <c r="BO62" s="40">
        <v>4868.7</v>
      </c>
      <c r="BP62" s="40">
        <v>4868.7</v>
      </c>
      <c r="BQ62" s="47">
        <v>4868.7</v>
      </c>
      <c r="BR62" s="40">
        <v>4868.7</v>
      </c>
      <c r="BS62" s="48">
        <v>4868.7</v>
      </c>
      <c r="BT62" s="48">
        <v>4868.7</v>
      </c>
      <c r="BU62" s="47">
        <v>4868.7</v>
      </c>
      <c r="BV62" s="40">
        <v>4726.88</v>
      </c>
      <c r="BW62" s="40">
        <v>4726.88</v>
      </c>
      <c r="BX62" s="40">
        <v>4726.88</v>
      </c>
      <c r="BY62" s="40">
        <v>4726.88</v>
      </c>
      <c r="BZ62" s="40">
        <v>4726.88</v>
      </c>
      <c r="CA62" s="48">
        <v>4726.88</v>
      </c>
      <c r="CB62" s="40">
        <v>4726.88</v>
      </c>
      <c r="CC62" s="40">
        <v>4726.88</v>
      </c>
      <c r="CD62" s="47">
        <v>4726.88</v>
      </c>
      <c r="CE62" s="40">
        <v>4726.88</v>
      </c>
      <c r="CF62" s="48">
        <v>4726.88</v>
      </c>
      <c r="CG62" s="48">
        <v>4784.75</v>
      </c>
      <c r="CH62" s="40">
        <v>4645.37</v>
      </c>
      <c r="CI62" s="40">
        <v>4645.37</v>
      </c>
      <c r="CJ62" s="40">
        <v>4645.37</v>
      </c>
      <c r="CK62" s="40">
        <v>4645.37</v>
      </c>
      <c r="CL62" s="40">
        <v>4645.37</v>
      </c>
      <c r="CM62" s="40">
        <v>4645.37</v>
      </c>
      <c r="CN62" s="40">
        <v>4645.37</v>
      </c>
      <c r="CO62" s="40">
        <v>4645.37</v>
      </c>
      <c r="CP62" s="40">
        <v>4645.37</v>
      </c>
      <c r="CQ62" s="40">
        <v>4645.37</v>
      </c>
      <c r="CR62" s="40">
        <v>4854.33</v>
      </c>
      <c r="CS62" s="48">
        <v>4854.33</v>
      </c>
      <c r="CT62" s="40">
        <f>4719.01-921.54</f>
        <v>3797.4700000000003</v>
      </c>
      <c r="CU62" s="40">
        <v>4719.01</v>
      </c>
      <c r="CV62" s="40">
        <v>4927.97</v>
      </c>
      <c r="CW62" s="40">
        <v>4510.05</v>
      </c>
      <c r="CX62" s="40">
        <v>4719.01</v>
      </c>
      <c r="CY62" s="40">
        <v>4719.01</v>
      </c>
      <c r="CZ62" s="40">
        <v>4719.01</v>
      </c>
      <c r="DA62" s="40">
        <v>4719.01</v>
      </c>
      <c r="DB62" s="40">
        <v>4719.01</v>
      </c>
      <c r="DC62" s="40">
        <v>4733.37</v>
      </c>
      <c r="DD62" s="40">
        <v>7428.31</v>
      </c>
      <c r="DE62" s="40">
        <v>4502.87</v>
      </c>
      <c r="DF62" s="40">
        <v>4378.68</v>
      </c>
      <c r="DG62" s="40">
        <v>4378.68</v>
      </c>
      <c r="DH62" s="40">
        <v>4378.68</v>
      </c>
      <c r="DI62" s="40">
        <v>4378.68</v>
      </c>
      <c r="DJ62" s="40">
        <v>4378.68</v>
      </c>
      <c r="DK62" s="40">
        <v>4378.46</v>
      </c>
      <c r="DL62" s="40">
        <v>4378.68</v>
      </c>
      <c r="DM62" s="40">
        <v>4378.68</v>
      </c>
      <c r="DN62" s="40">
        <v>4378.68</v>
      </c>
      <c r="DO62" s="40">
        <v>4378.68</v>
      </c>
      <c r="DP62" s="40">
        <v>4378.68</v>
      </c>
      <c r="DQ62" s="40">
        <v>4251.12</v>
      </c>
      <c r="DR62" s="40">
        <v>4460.08</v>
      </c>
      <c r="DS62" s="40">
        <v>4460.08</v>
      </c>
      <c r="DT62" s="40">
        <v>4460.08</v>
      </c>
      <c r="DU62" s="40">
        <v>4460.08</v>
      </c>
      <c r="DV62" s="40">
        <v>4460.08</v>
      </c>
      <c r="DW62" s="40">
        <v>4460.08</v>
      </c>
      <c r="DX62" s="40">
        <v>4460.08</v>
      </c>
      <c r="DY62" s="40">
        <v>4460.08</v>
      </c>
      <c r="DZ62" s="40">
        <v>4460.08</v>
      </c>
      <c r="EA62" s="40">
        <v>4460.08</v>
      </c>
      <c r="EB62" s="40">
        <v>4460.08</v>
      </c>
      <c r="EC62" s="40">
        <v>4460.08</v>
      </c>
      <c r="ED62" s="40">
        <v>4335.9399999999996</v>
      </c>
      <c r="EE62" s="40">
        <v>4335.9399999999996</v>
      </c>
      <c r="EF62" s="40">
        <v>4335.9399999999996</v>
      </c>
      <c r="EG62" s="40">
        <v>4335.9399999999996</v>
      </c>
      <c r="EH62" s="40">
        <v>4335.9399999999996</v>
      </c>
      <c r="EI62" s="40">
        <v>4335.9399999999996</v>
      </c>
      <c r="EJ62" s="40">
        <v>4335.9399999999996</v>
      </c>
      <c r="EK62" s="40">
        <v>4335.9399999999996</v>
      </c>
      <c r="EL62" s="40">
        <v>4335.9399999999996</v>
      </c>
      <c r="EM62" s="40">
        <v>4335.9399999999996</v>
      </c>
      <c r="EN62" s="40">
        <v>4335.9399999999996</v>
      </c>
      <c r="EO62" s="40">
        <v>4216</v>
      </c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</row>
    <row r="63" spans="1:255" x14ac:dyDescent="0.25">
      <c r="A63" s="41" t="s">
        <v>209</v>
      </c>
      <c r="B63" s="40">
        <f>1014.28+237.2</f>
        <v>1251.48</v>
      </c>
      <c r="C63" s="40">
        <f>1192.13+278.81</f>
        <v>1470.94</v>
      </c>
      <c r="D63" s="40">
        <f>1014.28+237.2</f>
        <v>1251.48</v>
      </c>
      <c r="E63" s="40">
        <f>985.08+230.4</f>
        <v>1215.48</v>
      </c>
      <c r="F63" s="40">
        <f>1014.28+237.2</f>
        <v>1251.48</v>
      </c>
      <c r="G63" s="40">
        <f>1047.08+244.9</f>
        <v>1291.98</v>
      </c>
      <c r="H63" s="40">
        <f>1014.28+237.2</f>
        <v>1251.48</v>
      </c>
      <c r="I63" s="40">
        <f>985.08+230.4</f>
        <v>1215.48</v>
      </c>
      <c r="J63" s="40">
        <v>1014.28</v>
      </c>
      <c r="K63" s="40">
        <f>985.08+230.4</f>
        <v>1215.48</v>
      </c>
      <c r="L63" s="40">
        <f>1014.28+237.2</f>
        <v>1251.48</v>
      </c>
      <c r="M63" s="40">
        <f>985.08+230.4</f>
        <v>1215.48</v>
      </c>
      <c r="N63" s="40">
        <f>1169.28+273.45</f>
        <v>1442.73</v>
      </c>
      <c r="O63" s="40">
        <f>985.08+230.4</f>
        <v>1215.48</v>
      </c>
      <c r="P63" s="40">
        <f>1022.57+239.14</f>
        <v>1261.71</v>
      </c>
      <c r="Q63" s="40">
        <f>985.08+230.4</f>
        <v>1215.48</v>
      </c>
      <c r="R63" s="40">
        <f>1014.28+237.2</f>
        <v>1251.48</v>
      </c>
      <c r="S63" s="40">
        <f>987.76+231.02</f>
        <v>1218.78</v>
      </c>
      <c r="T63" s="40">
        <f>757.37</f>
        <v>757.37</v>
      </c>
      <c r="U63" s="40">
        <f>985.08+230.4</f>
        <v>1215.48</v>
      </c>
      <c r="V63" s="40">
        <f>730.88+170.94</f>
        <v>901.81999999999994</v>
      </c>
      <c r="W63" s="40">
        <f>1287.31+301.09</f>
        <v>1588.3999999999999</v>
      </c>
      <c r="X63" s="40">
        <f>616.16+144.1</f>
        <v>760.26</v>
      </c>
      <c r="Y63" s="40">
        <f>984.46+230.24</f>
        <v>1214.7</v>
      </c>
      <c r="Z63" s="40">
        <f t="shared" si="41"/>
        <v>-454.44000000000005</v>
      </c>
      <c r="AA63" s="107">
        <v>15595</v>
      </c>
      <c r="AB63" s="60">
        <v>16005</v>
      </c>
      <c r="AC63" s="40" t="s">
        <v>4</v>
      </c>
      <c r="AD63" s="40">
        <f t="shared" si="34"/>
        <v>13647.05</v>
      </c>
      <c r="AE63" s="40">
        <f>+AI63/12*A108</f>
        <v>15754</v>
      </c>
      <c r="AF63" s="40">
        <f t="shared" si="35"/>
        <v>-2106.9500000000007</v>
      </c>
      <c r="AG63" s="40">
        <f t="shared" si="36"/>
        <v>15293.16</v>
      </c>
      <c r="AH63" s="40" t="s">
        <v>4</v>
      </c>
      <c r="AI63" s="61">
        <v>15754</v>
      </c>
      <c r="AJ63" s="62">
        <f t="shared" si="37"/>
        <v>0.86625936270153603</v>
      </c>
      <c r="AK63" s="62"/>
      <c r="AL63" s="40">
        <v>1293.95</v>
      </c>
      <c r="AM63" s="40">
        <f>1176.08+275.06</f>
        <v>1451.1399999999999</v>
      </c>
      <c r="AN63" s="40">
        <f>1044.34+244.24</f>
        <v>1288.58</v>
      </c>
      <c r="AO63" s="40">
        <f>1044.34+244.24</f>
        <v>1288.58</v>
      </c>
      <c r="AP63" s="40">
        <f>1044.34+244.24</f>
        <v>1288.58</v>
      </c>
      <c r="AQ63" s="40">
        <f>1044.33+244.24</f>
        <v>1288.57</v>
      </c>
      <c r="AR63" s="40">
        <f>1044.33+244.24</f>
        <v>1288.57</v>
      </c>
      <c r="AS63" s="40">
        <f>1044.33+244.24</f>
        <v>1288.57</v>
      </c>
      <c r="AT63" s="40">
        <f>1230.33+287.74</f>
        <v>1518.07</v>
      </c>
      <c r="AU63" s="40">
        <f>244.85+1046.91</f>
        <v>1291.76</v>
      </c>
      <c r="AV63" s="68">
        <f>245.46+1049.5</f>
        <v>1294.96</v>
      </c>
      <c r="AW63" s="40">
        <f>1049.5+245.46</f>
        <v>1294.96</v>
      </c>
      <c r="AX63" s="40">
        <f>1018.5+238.2</f>
        <v>1256.7</v>
      </c>
      <c r="AY63" s="40">
        <f>1161.77+271.7</f>
        <v>1433.47</v>
      </c>
      <c r="AZ63" s="40">
        <f>240.88+1030.02</f>
        <v>1270.9000000000001</v>
      </c>
      <c r="BA63" s="40">
        <f>1030.02+240.88</f>
        <v>1270.9000000000001</v>
      </c>
      <c r="BB63" s="40">
        <f>1030.02+240.88</f>
        <v>1270.9000000000001</v>
      </c>
      <c r="BC63" s="40">
        <f>1030.02+240.88</f>
        <v>1270.9000000000001</v>
      </c>
      <c r="BD63" s="40">
        <f>1030.02+240.88</f>
        <v>1270.9000000000001</v>
      </c>
      <c r="BE63" s="40">
        <f>1030.021+240.88</f>
        <v>1270.9009999999998</v>
      </c>
      <c r="BF63" s="40">
        <f>889.04+207.92</f>
        <v>1096.96</v>
      </c>
      <c r="BG63" s="40">
        <f>982.92+229.88</f>
        <v>1212.8</v>
      </c>
      <c r="BH63" s="40">
        <f>1032.46+241.46</f>
        <v>1273.92</v>
      </c>
      <c r="BI63" s="79">
        <f>1033.7+241.75</f>
        <v>1275.45</v>
      </c>
      <c r="BJ63" s="40">
        <f>1001.06+234.11</f>
        <v>1235.17</v>
      </c>
      <c r="BK63" s="40">
        <f>1001.65+234.26</f>
        <v>1235.9099999999999</v>
      </c>
      <c r="BL63" s="40">
        <f>1288.43+301.33</f>
        <v>1589.76</v>
      </c>
      <c r="BM63" s="40">
        <f>1001.68+234.26</f>
        <v>1235.94</v>
      </c>
      <c r="BN63" s="48">
        <f>1125.68+263.26</f>
        <v>1388.94</v>
      </c>
      <c r="BO63" s="40">
        <f>1001.68+234.26</f>
        <v>1235.94</v>
      </c>
      <c r="BP63" s="40">
        <f>1001.68+234.26</f>
        <v>1235.94</v>
      </c>
      <c r="BQ63" s="47">
        <f>234.26+1001.68</f>
        <v>1235.94</v>
      </c>
      <c r="BR63" s="40">
        <f>1001.68+234.26</f>
        <v>1235.94</v>
      </c>
      <c r="BS63" s="48">
        <f>1001.68+234.26</f>
        <v>1235.94</v>
      </c>
      <c r="BT63" s="48">
        <f>1001.68+234.26</f>
        <v>1235.94</v>
      </c>
      <c r="BU63" s="47">
        <f>1001.68+234.26</f>
        <v>1235.94</v>
      </c>
      <c r="BV63" s="40">
        <v>1199.8399999999999</v>
      </c>
      <c r="BW63" s="40">
        <f>1104.14+258.26</f>
        <v>1362.4</v>
      </c>
      <c r="BX63" s="40">
        <f t="shared" ref="BX63:CG63" si="42">972.4+227.44</f>
        <v>1199.8399999999999</v>
      </c>
      <c r="BY63" s="40">
        <f t="shared" si="42"/>
        <v>1199.8399999999999</v>
      </c>
      <c r="BZ63" s="40">
        <f t="shared" si="42"/>
        <v>1199.8399999999999</v>
      </c>
      <c r="CA63" s="48">
        <f t="shared" si="42"/>
        <v>1199.8399999999999</v>
      </c>
      <c r="CB63" s="40">
        <f t="shared" si="42"/>
        <v>1199.8399999999999</v>
      </c>
      <c r="CC63" s="40">
        <f t="shared" si="42"/>
        <v>1199.8399999999999</v>
      </c>
      <c r="CD63" s="47">
        <f t="shared" si="42"/>
        <v>1199.8399999999999</v>
      </c>
      <c r="CE63" s="40">
        <f t="shared" si="42"/>
        <v>1199.8399999999999</v>
      </c>
      <c r="CF63" s="48">
        <f t="shared" si="42"/>
        <v>1199.8399999999999</v>
      </c>
      <c r="CG63" s="48">
        <f t="shared" si="42"/>
        <v>1199.8399999999999</v>
      </c>
      <c r="CH63" s="40">
        <f>1017.98+238.06</f>
        <v>1256.04</v>
      </c>
      <c r="CI63" s="40">
        <f>1204.39+281.66</f>
        <v>1486.0500000000002</v>
      </c>
      <c r="CJ63" s="40">
        <f t="shared" ref="CJ63:CP63" si="43">944+220.76</f>
        <v>1164.76</v>
      </c>
      <c r="CK63" s="40">
        <f t="shared" si="43"/>
        <v>1164.76</v>
      </c>
      <c r="CL63" s="40">
        <f t="shared" si="43"/>
        <v>1164.76</v>
      </c>
      <c r="CM63" s="40">
        <f t="shared" si="43"/>
        <v>1164.76</v>
      </c>
      <c r="CN63" s="40">
        <f t="shared" si="43"/>
        <v>1164.76</v>
      </c>
      <c r="CO63" s="40">
        <f t="shared" si="43"/>
        <v>1164.76</v>
      </c>
      <c r="CP63" s="40">
        <f t="shared" si="43"/>
        <v>1164.76</v>
      </c>
      <c r="CQ63" s="40">
        <f>975+228.01</f>
        <v>1203.01</v>
      </c>
      <c r="CR63" s="40">
        <f>944+220.76</f>
        <v>1164.76</v>
      </c>
      <c r="CS63" s="48">
        <f>944+220.76</f>
        <v>1164.76</v>
      </c>
      <c r="CT63" s="40">
        <f>916.44+214.3</f>
        <v>1130.74</v>
      </c>
      <c r="CU63" s="40">
        <f>1022.32+239.07</f>
        <v>1261.3900000000001</v>
      </c>
      <c r="CV63" s="40">
        <f t="shared" ref="CV63:DA63" si="44">916.94+214.42</f>
        <v>1131.3600000000001</v>
      </c>
      <c r="CW63" s="40">
        <f t="shared" si="44"/>
        <v>1131.3600000000001</v>
      </c>
      <c r="CX63" s="40">
        <f t="shared" si="44"/>
        <v>1131.3600000000001</v>
      </c>
      <c r="CY63" s="40">
        <f t="shared" si="44"/>
        <v>1131.3600000000001</v>
      </c>
      <c r="CZ63" s="40">
        <f t="shared" si="44"/>
        <v>1131.3600000000001</v>
      </c>
      <c r="DA63" s="40">
        <f t="shared" si="44"/>
        <v>1131.3600000000001</v>
      </c>
      <c r="DB63" s="40">
        <f>1071.94+250.67</f>
        <v>1322.6100000000001</v>
      </c>
      <c r="DC63" s="40">
        <f>916.94+214.42</f>
        <v>1131.3600000000001</v>
      </c>
      <c r="DD63" s="40">
        <f>916.94+214.42</f>
        <v>1131.3600000000001</v>
      </c>
      <c r="DE63" s="40">
        <f>916.94+214.42</f>
        <v>1131.3600000000001</v>
      </c>
      <c r="DF63" s="40">
        <f>890.14+208.18</f>
        <v>1098.32</v>
      </c>
      <c r="DG63" s="40">
        <f>994.38+232.57</f>
        <v>1226.95</v>
      </c>
      <c r="DH63" s="40">
        <f t="shared" ref="DH63:DO63" si="45">889+207.92</f>
        <v>1096.92</v>
      </c>
      <c r="DI63" s="40">
        <f t="shared" si="45"/>
        <v>1096.92</v>
      </c>
      <c r="DJ63" s="40">
        <f t="shared" si="45"/>
        <v>1096.92</v>
      </c>
      <c r="DK63" s="40">
        <f t="shared" si="45"/>
        <v>1096.92</v>
      </c>
      <c r="DL63" s="40">
        <f t="shared" si="45"/>
        <v>1096.92</v>
      </c>
      <c r="DM63" s="40">
        <f t="shared" si="45"/>
        <v>1096.92</v>
      </c>
      <c r="DN63" s="40">
        <f t="shared" si="45"/>
        <v>1096.92</v>
      </c>
      <c r="DO63" s="40">
        <f t="shared" si="45"/>
        <v>1096.92</v>
      </c>
      <c r="DP63" s="40">
        <f>887.14+207.49</f>
        <v>1094.6300000000001</v>
      </c>
      <c r="DQ63" s="40">
        <f>208.36+890.86</f>
        <v>1099.22</v>
      </c>
      <c r="DR63" s="40">
        <f>866.72+202.74</f>
        <v>1069.46</v>
      </c>
      <c r="DS63" s="40">
        <f>1096.1+256.37</f>
        <v>1352.4699999999998</v>
      </c>
      <c r="DT63" s="40">
        <f>866.72+202.74</f>
        <v>1069.46</v>
      </c>
      <c r="DU63" s="40">
        <f>866.72+202.74</f>
        <v>1069.46</v>
      </c>
      <c r="DV63" s="40">
        <f>959.72+224.49</f>
        <v>1184.21</v>
      </c>
      <c r="DW63" s="40">
        <f t="shared" ref="DW63:EC63" si="46">866.72+202.74</f>
        <v>1069.46</v>
      </c>
      <c r="DX63" s="40">
        <f t="shared" si="46"/>
        <v>1069.46</v>
      </c>
      <c r="DY63" s="40">
        <f t="shared" si="46"/>
        <v>1069.46</v>
      </c>
      <c r="DZ63" s="40">
        <f t="shared" si="46"/>
        <v>1069.46</v>
      </c>
      <c r="EA63" s="40">
        <f t="shared" si="46"/>
        <v>1069.46</v>
      </c>
      <c r="EB63" s="40">
        <f t="shared" si="46"/>
        <v>1069.46</v>
      </c>
      <c r="EC63" s="40">
        <f t="shared" si="46"/>
        <v>1069.46</v>
      </c>
      <c r="ED63" s="40">
        <v>1038.28</v>
      </c>
      <c r="EE63" s="40">
        <v>1038.25</v>
      </c>
      <c r="EF63" s="40">
        <v>1038.28</v>
      </c>
      <c r="EG63" s="40">
        <v>1038.28</v>
      </c>
      <c r="EH63" s="40">
        <v>1038.28</v>
      </c>
      <c r="EI63" s="40">
        <v>1038.28</v>
      </c>
      <c r="EJ63" s="40">
        <v>1038.28</v>
      </c>
      <c r="EK63" s="40">
        <v>1038.28</v>
      </c>
      <c r="EL63" s="40">
        <v>1038.28</v>
      </c>
      <c r="EM63" s="40">
        <v>1038.28</v>
      </c>
      <c r="EN63" s="40">
        <v>1038.28</v>
      </c>
      <c r="EO63" s="40">
        <f>841.48+196.8</f>
        <v>1038.28</v>
      </c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</row>
    <row r="64" spans="1:255" x14ac:dyDescent="0.25">
      <c r="A64" s="41" t="s">
        <v>210</v>
      </c>
      <c r="B64" s="40">
        <v>41.71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1000</v>
      </c>
      <c r="J64" s="40">
        <v>1366.64</v>
      </c>
      <c r="K64" s="40">
        <v>0</v>
      </c>
      <c r="L64" s="40">
        <v>0</v>
      </c>
      <c r="M64" s="40">
        <v>0</v>
      </c>
      <c r="N64" s="40">
        <f>2500+2500</f>
        <v>5000</v>
      </c>
      <c r="O64" s="40">
        <v>0</v>
      </c>
      <c r="P64" s="40">
        <v>0</v>
      </c>
      <c r="Q64" s="40">
        <v>0</v>
      </c>
      <c r="R64" s="40">
        <v>-5357.09</v>
      </c>
      <c r="S64" s="40">
        <v>0</v>
      </c>
      <c r="T64" s="40">
        <v>50</v>
      </c>
      <c r="U64" s="40">
        <v>0</v>
      </c>
      <c r="V64" s="40">
        <v>0</v>
      </c>
      <c r="W64" s="40">
        <v>0</v>
      </c>
      <c r="X64" s="40">
        <f>18.3+12.27</f>
        <v>30.57</v>
      </c>
      <c r="Y64" s="40">
        <f>854.93+73.7</f>
        <v>928.63</v>
      </c>
      <c r="Z64" s="40">
        <f t="shared" si="41"/>
        <v>-898.06</v>
      </c>
      <c r="AA64" s="59">
        <v>4600</v>
      </c>
      <c r="AB64" s="60">
        <v>4800</v>
      </c>
      <c r="AC64" s="40" t="s">
        <v>4</v>
      </c>
      <c r="AD64" s="40">
        <f t="shared" si="34"/>
        <v>1131.8300000000002</v>
      </c>
      <c r="AE64" s="40">
        <f>+AI64/12*A108</f>
        <v>4800</v>
      </c>
      <c r="AF64" s="40">
        <f t="shared" si="35"/>
        <v>-3668.17</v>
      </c>
      <c r="AG64" s="40">
        <f t="shared" si="36"/>
        <v>1928.63</v>
      </c>
      <c r="AH64" s="40" t="s">
        <v>4</v>
      </c>
      <c r="AI64" s="61">
        <v>4800</v>
      </c>
      <c r="AJ64" s="62">
        <f t="shared" si="37"/>
        <v>0.23579791666666669</v>
      </c>
      <c r="AK64" s="62"/>
      <c r="AL64" s="40">
        <f>3321.1+739+7</f>
        <v>4067.1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170</v>
      </c>
      <c r="AS64" s="40">
        <v>-739</v>
      </c>
      <c r="AT64" s="40">
        <v>0</v>
      </c>
      <c r="AU64" s="40">
        <v>0</v>
      </c>
      <c r="AV64" s="68">
        <v>0</v>
      </c>
      <c r="AW64" s="40">
        <v>0</v>
      </c>
      <c r="AX64" s="40">
        <f>2952.41-87.13</f>
        <v>2865.2799999999997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900</v>
      </c>
      <c r="BI64" s="79">
        <v>0</v>
      </c>
      <c r="BJ64" s="40">
        <v>4015.66</v>
      </c>
      <c r="BK64" s="40">
        <v>0</v>
      </c>
      <c r="BL64" s="40">
        <v>0</v>
      </c>
      <c r="BM64" s="40">
        <v>0</v>
      </c>
      <c r="BN64" s="48">
        <v>0</v>
      </c>
      <c r="BO64" s="40">
        <v>0</v>
      </c>
      <c r="BP64" s="40">
        <v>0</v>
      </c>
      <c r="BQ64" s="47">
        <v>0</v>
      </c>
      <c r="BR64" s="40">
        <v>0</v>
      </c>
      <c r="BS64" s="48">
        <v>0</v>
      </c>
      <c r="BT64" s="48">
        <v>184.56</v>
      </c>
      <c r="BU64" s="47">
        <v>0</v>
      </c>
      <c r="BV64" s="40">
        <f>900+900+900+200+400+320+280</f>
        <v>3900</v>
      </c>
      <c r="BW64" s="40">
        <v>0</v>
      </c>
      <c r="BX64" s="40">
        <v>0</v>
      </c>
      <c r="BY64" s="40">
        <v>900</v>
      </c>
      <c r="BZ64" s="40">
        <v>0</v>
      </c>
      <c r="CA64" s="48">
        <v>0</v>
      </c>
      <c r="CB64" s="40">
        <v>0</v>
      </c>
      <c r="CC64" s="40">
        <v>0</v>
      </c>
      <c r="CD64" s="47">
        <v>0</v>
      </c>
      <c r="CE64" s="40">
        <v>0</v>
      </c>
      <c r="CF64" s="48">
        <v>0</v>
      </c>
      <c r="CG64" s="48">
        <v>0</v>
      </c>
      <c r="CH64" s="40">
        <v>4512.45</v>
      </c>
      <c r="CI64" s="40">
        <v>0</v>
      </c>
      <c r="CJ64" s="40">
        <v>0</v>
      </c>
      <c r="CK64" s="40">
        <v>0</v>
      </c>
      <c r="CL64" s="40">
        <v>0</v>
      </c>
      <c r="CM64" s="40">
        <v>0</v>
      </c>
      <c r="CN64" s="40">
        <v>0</v>
      </c>
      <c r="CO64" s="40">
        <v>0</v>
      </c>
      <c r="CP64" s="40">
        <v>0</v>
      </c>
      <c r="CQ64" s="40">
        <v>0</v>
      </c>
      <c r="CR64" s="40">
        <v>0</v>
      </c>
      <c r="CS64" s="48">
        <v>0</v>
      </c>
      <c r="CT64" s="40">
        <v>4280.6499999999996</v>
      </c>
      <c r="CU64" s="40">
        <v>0</v>
      </c>
      <c r="CV64" s="40">
        <v>0</v>
      </c>
      <c r="CW64" s="40">
        <v>0</v>
      </c>
      <c r="CX64" s="40">
        <v>0</v>
      </c>
      <c r="CY64" s="40">
        <v>0</v>
      </c>
      <c r="CZ64" s="40">
        <v>0</v>
      </c>
      <c r="DA64" s="40">
        <v>0</v>
      </c>
      <c r="DB64" s="40">
        <v>0</v>
      </c>
      <c r="DC64" s="40">
        <v>0</v>
      </c>
      <c r="DD64" s="40">
        <v>0</v>
      </c>
      <c r="DE64" s="40">
        <v>0</v>
      </c>
      <c r="DF64" s="40">
        <f>4190</f>
        <v>4190</v>
      </c>
      <c r="DG64" s="40">
        <v>0</v>
      </c>
      <c r="DH64" s="40">
        <v>0</v>
      </c>
      <c r="DI64" s="40">
        <v>400</v>
      </c>
      <c r="DJ64" s="40">
        <v>0</v>
      </c>
      <c r="DK64" s="40">
        <v>0</v>
      </c>
      <c r="DL64" s="40">
        <v>0</v>
      </c>
      <c r="DM64" s="40">
        <v>0</v>
      </c>
      <c r="DN64" s="40">
        <v>0</v>
      </c>
      <c r="DO64" s="40">
        <v>0</v>
      </c>
      <c r="DP64" s="40">
        <v>0</v>
      </c>
      <c r="DQ64" s="40">
        <v>0</v>
      </c>
      <c r="DR64" s="40">
        <v>4399.67</v>
      </c>
      <c r="DS64" s="40">
        <v>0</v>
      </c>
      <c r="DT64" s="40">
        <v>0</v>
      </c>
      <c r="DU64" s="40">
        <v>400</v>
      </c>
      <c r="DV64" s="40">
        <v>0</v>
      </c>
      <c r="DW64" s="40">
        <v>0</v>
      </c>
      <c r="DX64" s="40">
        <v>0</v>
      </c>
      <c r="DY64" s="40">
        <v>0</v>
      </c>
      <c r="DZ64" s="40">
        <v>0</v>
      </c>
      <c r="EA64" s="40">
        <v>0</v>
      </c>
      <c r="EB64" s="40">
        <v>0</v>
      </c>
      <c r="EC64" s="40">
        <v>0</v>
      </c>
      <c r="ED64" s="40">
        <v>3600</v>
      </c>
      <c r="EE64" s="40">
        <v>0</v>
      </c>
      <c r="EF64" s="40">
        <v>0</v>
      </c>
      <c r="EG64" s="40">
        <v>300</v>
      </c>
      <c r="EH64" s="40">
        <v>0</v>
      </c>
      <c r="EI64" s="40">
        <v>0</v>
      </c>
      <c r="EJ64" s="40">
        <v>900</v>
      </c>
      <c r="EK64" s="40">
        <v>0</v>
      </c>
      <c r="EL64" s="40">
        <v>0</v>
      </c>
      <c r="EM64" s="40">
        <v>0</v>
      </c>
      <c r="EN64" s="40">
        <v>0</v>
      </c>
      <c r="EO64" s="40">
        <v>0</v>
      </c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</row>
    <row r="65" spans="1:255" hidden="1" x14ac:dyDescent="0.25">
      <c r="A65" s="41" t="s">
        <v>211</v>
      </c>
      <c r="F65" s="40">
        <v>0</v>
      </c>
      <c r="H65" s="40">
        <v>0</v>
      </c>
      <c r="J65" s="40">
        <v>0</v>
      </c>
      <c r="N65" s="40">
        <v>0</v>
      </c>
      <c r="T65" s="40">
        <v>0</v>
      </c>
      <c r="V65" s="40">
        <v>0</v>
      </c>
      <c r="Z65" s="40">
        <f t="shared" si="41"/>
        <v>0</v>
      </c>
      <c r="AA65" s="59"/>
      <c r="AB65" s="60"/>
      <c r="AC65" s="40" t="s">
        <v>4</v>
      </c>
      <c r="AD65" s="40">
        <f t="shared" si="34"/>
        <v>0</v>
      </c>
      <c r="AE65" s="40">
        <f>+AI65/12*A108</f>
        <v>0</v>
      </c>
      <c r="AF65" s="40">
        <f t="shared" si="35"/>
        <v>0</v>
      </c>
      <c r="AG65" s="40">
        <f t="shared" si="36"/>
        <v>0</v>
      </c>
      <c r="AH65" s="40" t="s">
        <v>4</v>
      </c>
      <c r="AI65" s="61">
        <v>0</v>
      </c>
      <c r="AJ65" s="62" t="s">
        <v>157</v>
      </c>
      <c r="AK65" s="62"/>
      <c r="AV65" s="68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79"/>
      <c r="BJ65" s="40"/>
      <c r="BK65" s="40"/>
      <c r="BL65" s="40"/>
      <c r="BM65" s="40"/>
      <c r="BN65" s="48"/>
      <c r="BO65" s="40"/>
      <c r="BP65" s="40"/>
      <c r="BQ65" s="47"/>
      <c r="BR65" s="40"/>
      <c r="BS65" s="48"/>
      <c r="BT65" s="48"/>
      <c r="BU65" s="47"/>
      <c r="BV65" s="40">
        <v>0</v>
      </c>
      <c r="BW65" s="40">
        <v>0</v>
      </c>
      <c r="BX65" s="40">
        <v>0</v>
      </c>
      <c r="BY65" s="40">
        <v>0</v>
      </c>
      <c r="BZ65" s="40">
        <v>0</v>
      </c>
      <c r="CA65" s="48">
        <v>0</v>
      </c>
      <c r="CB65" s="40"/>
      <c r="CC65" s="40">
        <v>0</v>
      </c>
      <c r="CD65" s="47"/>
      <c r="CE65" s="40">
        <v>0</v>
      </c>
      <c r="CF65" s="48"/>
      <c r="CG65" s="48"/>
      <c r="CH65" s="40">
        <v>0</v>
      </c>
      <c r="CI65" s="40">
        <v>0</v>
      </c>
      <c r="CJ65" s="40">
        <v>0</v>
      </c>
      <c r="CK65" s="40">
        <v>0</v>
      </c>
      <c r="CL65" s="40">
        <v>0</v>
      </c>
      <c r="CM65" s="40">
        <v>0</v>
      </c>
      <c r="CN65" s="40">
        <v>0</v>
      </c>
      <c r="CO65" s="40">
        <v>0</v>
      </c>
      <c r="CP65" s="40">
        <v>0</v>
      </c>
      <c r="CQ65" s="40">
        <v>0</v>
      </c>
      <c r="CR65" s="40">
        <v>0</v>
      </c>
      <c r="CS65" s="48">
        <v>0</v>
      </c>
      <c r="CT65" s="40">
        <v>0</v>
      </c>
      <c r="CU65" s="40">
        <v>0</v>
      </c>
      <c r="CV65" s="40">
        <v>0</v>
      </c>
      <c r="CW65" s="40">
        <v>0</v>
      </c>
      <c r="CX65" s="40">
        <v>0</v>
      </c>
      <c r="CY65" s="40">
        <v>0</v>
      </c>
      <c r="CZ65" s="40">
        <v>0</v>
      </c>
      <c r="DA65" s="40">
        <v>0</v>
      </c>
      <c r="DB65" s="40">
        <v>0</v>
      </c>
      <c r="DC65" s="40">
        <v>0</v>
      </c>
      <c r="DD65" s="40">
        <v>0</v>
      </c>
      <c r="DE65" s="40">
        <v>0</v>
      </c>
      <c r="DF65" s="40">
        <v>0</v>
      </c>
      <c r="DG65" s="40">
        <v>0</v>
      </c>
      <c r="DH65" s="40">
        <v>0</v>
      </c>
      <c r="DI65" s="40">
        <v>0</v>
      </c>
      <c r="DJ65" s="40">
        <v>0</v>
      </c>
      <c r="DK65" s="40">
        <v>0</v>
      </c>
      <c r="DL65" s="40">
        <v>337.5</v>
      </c>
      <c r="DM65" s="40">
        <v>0</v>
      </c>
      <c r="DN65" s="40">
        <v>0</v>
      </c>
      <c r="DO65" s="40">
        <v>0</v>
      </c>
      <c r="DP65" s="40">
        <v>0</v>
      </c>
      <c r="DQ65" s="40">
        <v>0</v>
      </c>
      <c r="DR65" s="40">
        <v>0</v>
      </c>
      <c r="DS65" s="40">
        <v>465</v>
      </c>
      <c r="DT65" s="40">
        <v>112.5</v>
      </c>
      <c r="DU65" s="40">
        <v>375</v>
      </c>
      <c r="DV65" s="40">
        <v>0</v>
      </c>
      <c r="DW65" s="40">
        <v>255</v>
      </c>
      <c r="DX65" s="40">
        <v>0</v>
      </c>
      <c r="DY65" s="40">
        <v>780</v>
      </c>
      <c r="DZ65" s="40">
        <v>0</v>
      </c>
      <c r="EA65" s="40">
        <v>0</v>
      </c>
      <c r="EB65" s="40">
        <v>0</v>
      </c>
      <c r="EC65" s="40">
        <v>0</v>
      </c>
      <c r="ED65" s="40">
        <v>1430</v>
      </c>
      <c r="EE65" s="40">
        <v>0</v>
      </c>
      <c r="EF65" s="40">
        <v>0</v>
      </c>
      <c r="EG65" s="40">
        <v>0</v>
      </c>
      <c r="EH65" s="40">
        <v>0</v>
      </c>
      <c r="EI65" s="40">
        <v>1292.5</v>
      </c>
      <c r="EJ65" s="40">
        <v>0</v>
      </c>
      <c r="EK65" s="40">
        <v>0</v>
      </c>
      <c r="EL65" s="40">
        <v>0</v>
      </c>
      <c r="EM65" s="40">
        <v>0</v>
      </c>
      <c r="EN65" s="40">
        <v>0</v>
      </c>
      <c r="EO65" s="40">
        <v>0</v>
      </c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</row>
    <row r="66" spans="1:255" x14ac:dyDescent="0.25">
      <c r="A66" s="41" t="s">
        <v>212</v>
      </c>
      <c r="B66" s="40">
        <v>10</v>
      </c>
      <c r="C66" s="40">
        <v>0</v>
      </c>
      <c r="D66" s="40">
        <v>4500</v>
      </c>
      <c r="E66" s="40">
        <f>5210-810</f>
        <v>4400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149.4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f t="shared" si="41"/>
        <v>0</v>
      </c>
      <c r="AA66" s="59">
        <v>4500</v>
      </c>
      <c r="AB66" s="112">
        <v>4700</v>
      </c>
      <c r="AC66" s="40" t="s">
        <v>4</v>
      </c>
      <c r="AD66" s="40">
        <f t="shared" si="34"/>
        <v>4659.3999999999996</v>
      </c>
      <c r="AE66" s="40">
        <f>+AI66/12*A108</f>
        <v>4600</v>
      </c>
      <c r="AF66" s="40">
        <f t="shared" si="35"/>
        <v>59.399999999999636</v>
      </c>
      <c r="AG66" s="40">
        <f t="shared" si="36"/>
        <v>4400</v>
      </c>
      <c r="AH66" s="40" t="s">
        <v>4</v>
      </c>
      <c r="AI66" s="61">
        <v>4600</v>
      </c>
      <c r="AJ66" s="62">
        <f t="shared" si="37"/>
        <v>1.0129130434782607</v>
      </c>
      <c r="AK66" s="62"/>
      <c r="AL66" s="40">
        <v>50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68">
        <f>30+4000</f>
        <v>4030</v>
      </c>
      <c r="AW66" s="40">
        <v>10</v>
      </c>
      <c r="AX66" s="40">
        <v>0</v>
      </c>
      <c r="AY66" s="40">
        <v>0</v>
      </c>
      <c r="AZ66" s="40">
        <v>0</v>
      </c>
      <c r="BA66" s="40">
        <v>0</v>
      </c>
      <c r="BB66" s="40">
        <v>75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3500</v>
      </c>
      <c r="BI66" s="79">
        <v>10</v>
      </c>
      <c r="BJ66" s="40">
        <v>0</v>
      </c>
      <c r="BK66" s="40">
        <v>0</v>
      </c>
      <c r="BL66" s="40">
        <v>0</v>
      </c>
      <c r="BM66" s="40">
        <v>0</v>
      </c>
      <c r="BN66" s="48">
        <v>0</v>
      </c>
      <c r="BO66" s="40">
        <v>0</v>
      </c>
      <c r="BP66" s="40">
        <v>0</v>
      </c>
      <c r="BQ66" s="47">
        <v>0</v>
      </c>
      <c r="BR66" s="40">
        <v>0</v>
      </c>
      <c r="BS66" s="48">
        <v>0</v>
      </c>
      <c r="BT66" s="48">
        <v>4400</v>
      </c>
      <c r="BU66" s="47">
        <v>10</v>
      </c>
      <c r="BV66" s="40">
        <v>0</v>
      </c>
      <c r="BW66" s="40">
        <v>0</v>
      </c>
      <c r="BX66" s="40">
        <v>0</v>
      </c>
      <c r="BY66" s="40">
        <v>0</v>
      </c>
      <c r="BZ66" s="40">
        <v>0</v>
      </c>
      <c r="CA66" s="48">
        <v>0</v>
      </c>
      <c r="CB66" s="40">
        <v>0</v>
      </c>
      <c r="CC66" s="40">
        <v>0</v>
      </c>
      <c r="CD66" s="47">
        <v>0</v>
      </c>
      <c r="CE66" s="40">
        <v>0</v>
      </c>
      <c r="CF66" s="48">
        <f>4000+30</f>
        <v>4030</v>
      </c>
      <c r="CG66" s="48">
        <v>10</v>
      </c>
      <c r="CH66" s="40">
        <v>0</v>
      </c>
      <c r="CI66" s="40">
        <v>0</v>
      </c>
      <c r="CJ66" s="40">
        <v>0</v>
      </c>
      <c r="CK66" s="40">
        <v>0</v>
      </c>
      <c r="CL66" s="40">
        <v>0</v>
      </c>
      <c r="CM66" s="40">
        <v>0</v>
      </c>
      <c r="CN66" s="40">
        <v>0</v>
      </c>
      <c r="CO66" s="40">
        <v>0</v>
      </c>
      <c r="CP66" s="40">
        <v>0</v>
      </c>
      <c r="CQ66" s="40">
        <v>10</v>
      </c>
      <c r="CR66" s="40">
        <v>3800</v>
      </c>
      <c r="CS66" s="48">
        <v>10</v>
      </c>
      <c r="CT66" s="40">
        <v>0</v>
      </c>
      <c r="CU66" s="40">
        <v>0</v>
      </c>
      <c r="CV66" s="40">
        <v>0</v>
      </c>
      <c r="CW66" s="40">
        <v>0</v>
      </c>
      <c r="CX66" s="40">
        <v>0</v>
      </c>
      <c r="CY66" s="40">
        <v>0</v>
      </c>
      <c r="CZ66" s="40">
        <v>0</v>
      </c>
      <c r="DA66" s="40">
        <v>0</v>
      </c>
      <c r="DB66" s="40">
        <v>0</v>
      </c>
      <c r="DC66" s="40">
        <v>0</v>
      </c>
      <c r="DD66" s="40">
        <v>3700</v>
      </c>
      <c r="DE66" s="40">
        <v>10</v>
      </c>
      <c r="DF66" s="40">
        <v>0</v>
      </c>
      <c r="DG66" s="40">
        <v>0</v>
      </c>
      <c r="DH66" s="40">
        <v>0</v>
      </c>
      <c r="DI66" s="40">
        <v>0</v>
      </c>
      <c r="DJ66" s="40">
        <v>0</v>
      </c>
      <c r="DK66" s="40">
        <v>0</v>
      </c>
      <c r="DL66" s="40">
        <v>0</v>
      </c>
      <c r="DM66" s="40">
        <v>0</v>
      </c>
      <c r="DN66" s="40">
        <v>0</v>
      </c>
      <c r="DO66" s="40">
        <v>0</v>
      </c>
      <c r="DP66" s="40">
        <f>30+3400</f>
        <v>3430</v>
      </c>
      <c r="DQ66" s="40">
        <v>10</v>
      </c>
      <c r="DR66" s="40">
        <v>0</v>
      </c>
      <c r="DS66" s="40">
        <v>0</v>
      </c>
      <c r="DT66" s="40">
        <v>0</v>
      </c>
      <c r="DU66" s="40">
        <v>0</v>
      </c>
      <c r="DV66" s="40">
        <v>0</v>
      </c>
      <c r="DW66" s="40">
        <v>0</v>
      </c>
      <c r="DX66" s="40">
        <v>0</v>
      </c>
      <c r="DY66" s="40">
        <v>0</v>
      </c>
      <c r="DZ66" s="40">
        <v>0</v>
      </c>
      <c r="EA66" s="40">
        <v>0</v>
      </c>
      <c r="EB66" s="40">
        <v>3300</v>
      </c>
      <c r="EC66" s="40">
        <v>10</v>
      </c>
      <c r="ED66" s="40">
        <v>0</v>
      </c>
      <c r="EE66" s="40">
        <v>0</v>
      </c>
      <c r="EF66" s="40">
        <v>0</v>
      </c>
      <c r="EG66" s="40">
        <v>0</v>
      </c>
      <c r="EH66" s="40">
        <v>0</v>
      </c>
      <c r="EI66" s="40">
        <v>0</v>
      </c>
      <c r="EJ66" s="40">
        <v>0</v>
      </c>
      <c r="EK66" s="40">
        <v>0</v>
      </c>
      <c r="EL66" s="40">
        <v>0</v>
      </c>
      <c r="EM66" s="40">
        <v>0</v>
      </c>
      <c r="EN66" s="40">
        <v>2950</v>
      </c>
      <c r="EO66" s="40">
        <v>10</v>
      </c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</row>
    <row r="67" spans="1:255" x14ac:dyDescent="0.25">
      <c r="A67" s="41" t="s">
        <v>213</v>
      </c>
      <c r="B67" s="40">
        <v>0</v>
      </c>
      <c r="C67" s="40">
        <v>0</v>
      </c>
      <c r="D67" s="40">
        <v>2135</v>
      </c>
      <c r="E67" s="40">
        <v>810</v>
      </c>
      <c r="F67" s="40">
        <v>1922.5</v>
      </c>
      <c r="G67" s="40">
        <v>1747.5</v>
      </c>
      <c r="H67" s="40">
        <v>977.5</v>
      </c>
      <c r="I67" s="40">
        <v>1555</v>
      </c>
      <c r="J67" s="40">
        <v>1185</v>
      </c>
      <c r="K67" s="40">
        <v>1550</v>
      </c>
      <c r="L67" s="40">
        <v>0</v>
      </c>
      <c r="M67" s="40">
        <v>1645</v>
      </c>
      <c r="N67" s="40">
        <v>1707.5</v>
      </c>
      <c r="O67" s="40">
        <v>1546</v>
      </c>
      <c r="P67" s="40">
        <v>1312</v>
      </c>
      <c r="Q67" s="40">
        <v>1395</v>
      </c>
      <c r="R67" s="40">
        <v>1514.5</v>
      </c>
      <c r="S67" s="40">
        <v>1320</v>
      </c>
      <c r="T67" s="40">
        <v>1695</v>
      </c>
      <c r="U67" s="40">
        <v>1170</v>
      </c>
      <c r="V67" s="40">
        <v>2150</v>
      </c>
      <c r="W67" s="40">
        <v>1500</v>
      </c>
      <c r="X67" s="40">
        <v>1641</v>
      </c>
      <c r="Y67" s="40">
        <v>3175</v>
      </c>
      <c r="Z67" s="40">
        <f t="shared" si="41"/>
        <v>-1534</v>
      </c>
      <c r="AA67" s="107">
        <v>18000</v>
      </c>
      <c r="AB67" s="60">
        <v>19000</v>
      </c>
      <c r="AC67" s="40"/>
      <c r="AD67" s="40">
        <f t="shared" si="34"/>
        <v>16240</v>
      </c>
      <c r="AE67" s="40">
        <v>0</v>
      </c>
      <c r="AF67" s="40">
        <f t="shared" si="35"/>
        <v>16240</v>
      </c>
      <c r="AG67" s="40">
        <f t="shared" si="36"/>
        <v>17413.5</v>
      </c>
      <c r="AH67" s="40"/>
      <c r="AI67" s="61">
        <v>26500</v>
      </c>
      <c r="AJ67" s="62">
        <f t="shared" si="37"/>
        <v>0.61283018867924532</v>
      </c>
      <c r="AK67" s="62"/>
      <c r="AT67" s="40">
        <v>0</v>
      </c>
      <c r="AU67" s="40">
        <v>0</v>
      </c>
      <c r="AV67" s="68">
        <v>0</v>
      </c>
      <c r="AW67" s="40">
        <v>0</v>
      </c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79"/>
      <c r="BJ67" s="40"/>
      <c r="BK67" s="40"/>
      <c r="BL67" s="40"/>
      <c r="BM67" s="40"/>
      <c r="BN67" s="48"/>
      <c r="BO67" s="40"/>
      <c r="BP67" s="40"/>
      <c r="BQ67" s="47"/>
      <c r="BR67" s="40"/>
      <c r="BS67" s="48"/>
      <c r="BT67" s="48"/>
      <c r="BU67" s="47"/>
      <c r="BV67" s="40"/>
      <c r="BW67" s="40"/>
      <c r="BX67" s="40"/>
      <c r="BY67" s="40"/>
      <c r="BZ67" s="40"/>
      <c r="CA67" s="48"/>
      <c r="CB67" s="40"/>
      <c r="CC67" s="40"/>
      <c r="CD67" s="47"/>
      <c r="CE67" s="40"/>
      <c r="CF67" s="48"/>
      <c r="CG67" s="48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8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</row>
    <row r="68" spans="1:255" x14ac:dyDescent="0.25">
      <c r="A68" s="41" t="s">
        <v>214</v>
      </c>
      <c r="B68" s="40">
        <f>253+769.03+496.83+368.32</f>
        <v>1887.1799999999998</v>
      </c>
      <c r="C68" s="40">
        <f>370+141.52+1302.96+270.86</f>
        <v>2085.34</v>
      </c>
      <c r="D68" s="40">
        <f>121.05+78.37+118.71+19.55+116.4</f>
        <v>454.08000000000004</v>
      </c>
      <c r="E68" s="40">
        <f>150.8+107.3+211.62+579.42+115.1</f>
        <v>1164.2399999999998</v>
      </c>
      <c r="F68" s="40">
        <f>99.59</f>
        <v>99.59</v>
      </c>
      <c r="G68" s="40">
        <v>1458.89</v>
      </c>
      <c r="H68" s="40">
        <v>0</v>
      </c>
      <c r="I68" s="40">
        <f>419.27+53.65+887.76+282.46+132.02</f>
        <v>1775.1599999999999</v>
      </c>
      <c r="J68" s="40">
        <f>31.05+269.1+92</f>
        <v>392.15000000000003</v>
      </c>
      <c r="K68" s="40">
        <f>1821.39+203.4+510.69</f>
        <v>2535.48</v>
      </c>
      <c r="L68" s="40">
        <f>31.09+123.63</f>
        <v>154.72</v>
      </c>
      <c r="M68" s="40">
        <f>455.55+276.72+442.68+22.23</f>
        <v>1197.18</v>
      </c>
      <c r="N68" s="40">
        <f>39.39+177.11+112.13</f>
        <v>328.63</v>
      </c>
      <c r="O68" s="40">
        <f>436.3+1713.15</f>
        <v>2149.4500000000003</v>
      </c>
      <c r="P68" s="40">
        <f>(-39.1)+45.43+99.47+601.38+617.97</f>
        <v>1325.15</v>
      </c>
      <c r="Q68" s="40">
        <f>275.5+173.05+791.71+598.01</f>
        <v>1838.27</v>
      </c>
      <c r="R68" s="40">
        <f>275.08+855.56</f>
        <v>1130.6399999999999</v>
      </c>
      <c r="S68" s="40">
        <f>616.75+331.47+1576.08-511.48</f>
        <v>2012.8200000000002</v>
      </c>
      <c r="T68" s="40">
        <f>19.55+253.58+737.15</f>
        <v>1010.28</v>
      </c>
      <c r="U68" s="40">
        <f>142.39+369.46+529+27.15</f>
        <v>1068</v>
      </c>
      <c r="V68" s="40">
        <f>19.55</f>
        <v>19.55</v>
      </c>
      <c r="W68" s="40">
        <f>216.54+36.6+791.89+561.44</f>
        <v>1606.47</v>
      </c>
      <c r="X68" s="40">
        <v>900.01</v>
      </c>
      <c r="Y68" s="40">
        <f>450.43+33.35+1284.61+268.82</f>
        <v>2037.2099999999998</v>
      </c>
      <c r="Z68" s="40">
        <f t="shared" si="41"/>
        <v>-1137.1999999999998</v>
      </c>
      <c r="AA68" s="107">
        <v>9000</v>
      </c>
      <c r="AB68" s="60">
        <v>17500</v>
      </c>
      <c r="AC68" s="40" t="s">
        <v>4</v>
      </c>
      <c r="AD68" s="40">
        <f t="shared" si="34"/>
        <v>7701.98</v>
      </c>
      <c r="AE68" s="40">
        <f>+AI68/12*A108</f>
        <v>22500</v>
      </c>
      <c r="AF68" s="40">
        <f t="shared" si="35"/>
        <v>-14798.02</v>
      </c>
      <c r="AG68" s="40">
        <f t="shared" si="36"/>
        <v>20928.510000000002</v>
      </c>
      <c r="AH68" s="40" t="s">
        <v>4</v>
      </c>
      <c r="AI68" s="61">
        <v>22500</v>
      </c>
      <c r="AJ68" s="62">
        <f t="shared" si="37"/>
        <v>0.34231022222222218</v>
      </c>
      <c r="AK68" s="62"/>
      <c r="AL68" s="40">
        <f>190+89.85+1060.34+254.04</f>
        <v>1594.23</v>
      </c>
      <c r="AM68" s="40">
        <f>406+275.88+599.68+227.82</f>
        <v>1509.3799999999999</v>
      </c>
      <c r="AN68" s="40">
        <f>15.88-616.24+309.78+213.46</f>
        <v>-77.120000000000033</v>
      </c>
      <c r="AO68" s="40">
        <f>580+1103.97+340.45+1449.54+523.27</f>
        <v>3997.23</v>
      </c>
      <c r="AP68" s="40">
        <f>393.64+157.88+255.4+398.27</f>
        <v>1205.19</v>
      </c>
      <c r="AQ68" s="40">
        <f>605.66+83.97+362.6+329.73</f>
        <v>1381.96</v>
      </c>
      <c r="AR68" s="40">
        <f>200+391.19+94.85+178.76+56.68</f>
        <v>921.48</v>
      </c>
      <c r="AS68" s="40">
        <f>174.21+1327.97+259.74+303.06+240.7</f>
        <v>2305.6799999999998</v>
      </c>
      <c r="AT68" s="40">
        <f>714.21+26.71+69.4+465.98</f>
        <v>1276.3000000000002</v>
      </c>
      <c r="AU68" s="40">
        <f>70.31+355.11+228.36-224.98</f>
        <v>428.79999999999995</v>
      </c>
      <c r="AV68" s="40">
        <f>1002.85+801.79+755.49</f>
        <v>2560.13</v>
      </c>
      <c r="AW68" s="40">
        <f>115.01+1289.85+274.47</f>
        <v>1679.33</v>
      </c>
      <c r="AX68" s="40">
        <f>718.07+86.11+305.42+266.81</f>
        <v>1376.41</v>
      </c>
      <c r="AY68" s="40">
        <f>617.25+340.11+568.67+454.66</f>
        <v>1980.69</v>
      </c>
      <c r="AZ68" s="40">
        <f>163.29+166.37+574.94+149.17+204.77</f>
        <v>1258.54</v>
      </c>
      <c r="BA68" s="40">
        <f>1644.44+300.21+1144.9+393.52+132.78</f>
        <v>3615.8500000000004</v>
      </c>
      <c r="BB68" s="40">
        <f>694.42-211.81-66.15+391.58</f>
        <v>808.04</v>
      </c>
      <c r="BC68" s="40">
        <f>370+290.51+473.01+212.87+85.22</f>
        <v>1431.61</v>
      </c>
      <c r="BD68" s="40">
        <f>625+292.97+1227.5+499.99+442.21+55.64</f>
        <v>3143.31</v>
      </c>
      <c r="BE68" s="40">
        <f>1318.08+527.08+1262.47+1025.75+87.21</f>
        <v>4220.59</v>
      </c>
      <c r="BF68" s="40">
        <f>779+1597.29+863.61+730.84+203.3</f>
        <v>4174.04</v>
      </c>
      <c r="BG68" s="40">
        <f>395.9+115.15+521.92+288.37</f>
        <v>1321.3399999999997</v>
      </c>
      <c r="BH68" s="40">
        <f>627.67+100.71+5114.44+549.4</f>
        <v>6392.2199999999993</v>
      </c>
      <c r="BI68" s="47">
        <f>291.58+97.75+1156.61+245.57+251.96</f>
        <v>2043.4699999999998</v>
      </c>
      <c r="BJ68" s="40">
        <f>170+323.88+19.96+40.62+309.77+535.22</f>
        <v>1399.45</v>
      </c>
      <c r="BK68" s="40">
        <f>190+1850+267.62+481.3</f>
        <v>2788.92</v>
      </c>
      <c r="BL68" s="40">
        <f>882.14+111.5+322.96+562.09</f>
        <v>1878.69</v>
      </c>
      <c r="BM68" s="40">
        <f>32.04+166.54+1672.41+1032.96</f>
        <v>2903.95</v>
      </c>
      <c r="BN68" s="48">
        <f>884.62-0.2-194.99+573.39</f>
        <v>1262.82</v>
      </c>
      <c r="BO68" s="40">
        <f>665.64+1164.52+448.3+713.59+50+190</f>
        <v>3232.05</v>
      </c>
      <c r="BP68" s="40">
        <f>996.5+826.55+134.64+211.69</f>
        <v>2169.38</v>
      </c>
      <c r="BQ68" s="47">
        <f>340+1335.61+1001.34+163.12+427.14+171.6</f>
        <v>3438.8099999999995</v>
      </c>
      <c r="BR68" s="40">
        <f>352.91+727.17+334.8+962.82</f>
        <v>2377.6999999999998</v>
      </c>
      <c r="BS68" s="48">
        <f>251.94-75+113.67+732.44+132.08</f>
        <v>1155.1300000000001</v>
      </c>
      <c r="BT68" s="48">
        <f>148+214.65+52.83+1003.22+997.13+89.96</f>
        <v>2505.79</v>
      </c>
      <c r="BU68" s="47">
        <f>365+781.38+122.87+975.93+480.99+85.32</f>
        <v>2811.4900000000002</v>
      </c>
      <c r="BV68" s="40">
        <f>3096.4+13.5+335.21+169.34+335.94</f>
        <v>3950.3900000000003</v>
      </c>
      <c r="BW68" s="40">
        <f>185+524.06+111.68+84.53+341.58+250.36+226.66</f>
        <v>1723.8700000000001</v>
      </c>
      <c r="BX68" s="40">
        <f>25+1421.34+135.32+655.64+501.38+614.33</f>
        <v>3353.0099999999998</v>
      </c>
      <c r="BY68" s="40">
        <f>150+1318.31+412.82+1208.63+1065.72</f>
        <v>4155.4800000000005</v>
      </c>
      <c r="BZ68" s="40">
        <f>260+303.35+18.83+1262.67+771.49+144.33</f>
        <v>2760.67</v>
      </c>
      <c r="CA68" s="48">
        <f>937.28+671.75+725.57+302.3</f>
        <v>2636.9</v>
      </c>
      <c r="CB68" s="40">
        <f>1000+701.32+117.05+533.24+400.76</f>
        <v>2752.37</v>
      </c>
      <c r="CC68" s="40">
        <f>476+303.6+665.85+427.78+374.51</f>
        <v>2247.7399999999998</v>
      </c>
      <c r="CD68" s="47">
        <f>82.97+1667.17+149.5+539.87+457.89</f>
        <v>2897.4</v>
      </c>
      <c r="CE68" s="40">
        <f>558.95+98.28-242.07+454.83+361.97+355.28</f>
        <v>1587.24</v>
      </c>
      <c r="CF68" s="48">
        <f>415+765.14+388.38+396.48+327.31+269.93+112.6</f>
        <v>2674.8399999999997</v>
      </c>
      <c r="CG68" s="48">
        <f>-2000+867.28+214.16+593.77+1031.02+309.17</f>
        <v>1015.3999999999999</v>
      </c>
      <c r="CH68" s="40">
        <f>138.33+939.51+1611.05+249.7+80</f>
        <v>3018.5899999999997</v>
      </c>
      <c r="CI68" s="40">
        <f>185+152.32+108.64+275.02+184.72+106.8</f>
        <v>1012.5</v>
      </c>
      <c r="CJ68" s="40">
        <f>146.79+133+655.42+656.23+693.73</f>
        <v>2285.17</v>
      </c>
      <c r="CK68" s="40">
        <f>1643.83+119.71+1395.72+1306.33</f>
        <v>4465.59</v>
      </c>
      <c r="CL68" s="40">
        <f>1280.73+600.99+1290.04+53.36</f>
        <v>3225.1200000000003</v>
      </c>
      <c r="CM68" s="40">
        <f>527.88+569.01-328.29+573.13+109.1</f>
        <v>1450.83</v>
      </c>
      <c r="CN68" s="40">
        <f>555.77+256.09+632.83+1252.81+133.44</f>
        <v>2830.94</v>
      </c>
      <c r="CO68" s="40">
        <f>491.88+259.74+639.02+138.32</f>
        <v>1528.9599999999998</v>
      </c>
      <c r="CP68" s="40">
        <f>344.9+869+344.21+35.3+108.78</f>
        <v>1702.19</v>
      </c>
      <c r="CQ68" s="40">
        <f>206.38+36.08+389.44+566.93-66</f>
        <v>1132.83</v>
      </c>
      <c r="CR68" s="40">
        <f>795.56+137.76+684.04+1390.57+78</f>
        <v>3085.93</v>
      </c>
      <c r="CS68" s="48">
        <f>461.71+29.96-84.04+631.41+1126.46</f>
        <v>2165.5</v>
      </c>
      <c r="CT68" s="40">
        <f>345+932.75+85.12+669.23+244.72+15.85+0.01</f>
        <v>2292.6799999999998</v>
      </c>
      <c r="CU68" s="40">
        <f>180+654.1+73.39+166.62+295.15</f>
        <v>1369.2600000000002</v>
      </c>
      <c r="CV68" s="40">
        <f>3030.68-841.64+657.55+835.31</f>
        <v>3681.9</v>
      </c>
      <c r="CW68" s="40">
        <f>415.08+245.63+592.97+1248.85</f>
        <v>2502.5299999999997</v>
      </c>
      <c r="CX68" s="40">
        <f>1669.15+1367.2+656.23+679.06</f>
        <v>4371.6400000000003</v>
      </c>
      <c r="CY68" s="40">
        <f>817.12+1673.57+251.32</f>
        <v>2742.01</v>
      </c>
      <c r="CZ68" s="40">
        <f>825+457.09+1128.84+659.22+787.3+347.48</f>
        <v>4204.93</v>
      </c>
      <c r="DA68" s="40">
        <f>1154.25+852.62+590.61+387.41+95.49+113</f>
        <v>3193.3799999999997</v>
      </c>
      <c r="DB68" s="40">
        <f>962.43+230.44+158.02+217.77</f>
        <v>1568.6599999999999</v>
      </c>
      <c r="DC68" s="40">
        <f>172.34-3122.18+551.8-3040.3-121.71</f>
        <v>-5560.05</v>
      </c>
      <c r="DD68" s="40">
        <f>294+673.46+435.77+1074.36+620.52+324.81+490.66</f>
        <v>3913.58</v>
      </c>
      <c r="DE68" s="40">
        <f>4492.78+381.75+1107.7+5475.85</f>
        <v>11458.08</v>
      </c>
      <c r="DF68" s="40">
        <f>235+351.38+815.96+552.8-144.11+365.35+501.64-28.2</f>
        <v>2649.82</v>
      </c>
      <c r="DG68" s="40">
        <f>180+609.68+42.52+269.49+201.38+318.17</f>
        <v>1621.2400000000002</v>
      </c>
      <c r="DH68" s="40">
        <f>230.96+72.36+177.38+539.82+461.5+861.63+1081.45</f>
        <v>3425.1000000000004</v>
      </c>
      <c r="DI68" s="40">
        <f>3916.57+492.8+860.77+1312.96+588.8+69.77</f>
        <v>7241.67</v>
      </c>
      <c r="DJ68" s="40">
        <f>-95.75+90.56+403.15+569.03+700.32+76.59</f>
        <v>1743.8999999999999</v>
      </c>
      <c r="DK68" s="40">
        <f>774.63-55.82+128.76+383.09+1131.35</f>
        <v>2362.0099999999998</v>
      </c>
      <c r="DL68" s="40">
        <f>716.75+871.41+729.51+364.64+292.55+1085.06</f>
        <v>4059.92</v>
      </c>
      <c r="DM68" s="40">
        <f>-147.1+51.56+313.26+591.93+191.86+71.94</f>
        <v>1073.45</v>
      </c>
      <c r="DN68" s="40">
        <f>-179+1255.99+620.28+228.12-1334.79+836.47</f>
        <v>1427.07</v>
      </c>
      <c r="DO68" s="40">
        <f>674.32+350.87+771.05+18.77+1081.32</f>
        <v>2896.33</v>
      </c>
      <c r="DP68" s="40">
        <f>1507.5+418.92+100.91+480.41+621.05+237.87+77.7</f>
        <v>3444.3599999999997</v>
      </c>
      <c r="DQ68" s="40">
        <f>28.2+179+1339.35+11.5+670.46+2188.06+1200.4+26.62</f>
        <v>5643.5899999999992</v>
      </c>
      <c r="DR68" s="40">
        <f>677.16+100.74+417.73+253.58+210.46+364.44</f>
        <v>2024.1100000000001</v>
      </c>
      <c r="DS68" s="40">
        <f>1587.33+22.36+125.83+378.24+293.95</f>
        <v>2407.7099999999996</v>
      </c>
      <c r="DT68" s="40">
        <f>1153.28+57.57+349.26+938.22+830.24+150</f>
        <v>3478.5699999999997</v>
      </c>
      <c r="DU68" s="40">
        <f>1931.44+443.55+988.22+1336.44+532.91</f>
        <v>5232.5599999999995</v>
      </c>
      <c r="DV68" s="40">
        <f>1114.76+861.43+597.47+747.51+247.87</f>
        <v>3569.04</v>
      </c>
      <c r="DW68" s="40">
        <f>475.8+36+296.68+571.43+397.26+83.25</f>
        <v>1860.4199999999998</v>
      </c>
      <c r="DX68" s="40">
        <f>229.83+1027.99+662.82+255.22+685.67+62.77</f>
        <v>2924.2999999999997</v>
      </c>
      <c r="DY68" s="40">
        <f>25+2172.55+688.42+431.41+838.04+374.9+88.23+101.4</f>
        <v>4719.9499999999989</v>
      </c>
      <c r="DZ68" s="40">
        <f>670.57+1303.39+239.7-216.58+323.34</f>
        <v>2320.42</v>
      </c>
      <c r="EA68" s="40">
        <f>765.52+129.32+367.65+518.51</f>
        <v>1780.9999999999998</v>
      </c>
      <c r="EB68" s="40">
        <f>509.85-1068.42+952.04+937.18-728.69+7.76</f>
        <v>609.7199999999998</v>
      </c>
      <c r="EC68" s="40">
        <f>450.99+367.15+342.9+1321.09+31.62</f>
        <v>2513.75</v>
      </c>
      <c r="ED68" s="40">
        <v>2938.18</v>
      </c>
      <c r="EE68" s="40">
        <v>4667.18</v>
      </c>
      <c r="EF68" s="40">
        <v>4593.5200000000004</v>
      </c>
      <c r="EG68" s="40">
        <v>3127.62</v>
      </c>
      <c r="EH68" s="40">
        <v>3032.28</v>
      </c>
      <c r="EI68" s="40">
        <v>2094.37</v>
      </c>
      <c r="EJ68" s="40">
        <v>1580.32</v>
      </c>
      <c r="EK68" s="40">
        <v>1550.09</v>
      </c>
      <c r="EL68" s="40">
        <v>2815.03</v>
      </c>
      <c r="EM68" s="40">
        <v>1095.67</v>
      </c>
      <c r="EN68" s="40">
        <v>2782.16</v>
      </c>
      <c r="EO68" s="40">
        <f>180+1223.13+27.3+795.5+392.94+272.86+429.3</f>
        <v>3321.0300000000007</v>
      </c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</row>
    <row r="69" spans="1:255" x14ac:dyDescent="0.25">
      <c r="A69" s="41" t="s">
        <v>215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f t="shared" si="41"/>
        <v>0</v>
      </c>
      <c r="AA69" s="59">
        <v>500</v>
      </c>
      <c r="AB69" s="60">
        <v>1500</v>
      </c>
      <c r="AC69" s="40" t="s">
        <v>4</v>
      </c>
      <c r="AD69" s="40">
        <f t="shared" si="34"/>
        <v>0</v>
      </c>
      <c r="AE69" s="40">
        <f>+AI69/12*A108</f>
        <v>500</v>
      </c>
      <c r="AF69" s="40">
        <f t="shared" si="35"/>
        <v>-500</v>
      </c>
      <c r="AG69" s="40">
        <f t="shared" si="36"/>
        <v>0</v>
      </c>
      <c r="AH69" s="40" t="s">
        <v>4</v>
      </c>
      <c r="AI69" s="61">
        <v>500</v>
      </c>
      <c r="AJ69" s="62">
        <f t="shared" si="37"/>
        <v>0</v>
      </c>
      <c r="AK69" s="62"/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100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7">
        <v>0</v>
      </c>
      <c r="BJ69" s="40">
        <v>0</v>
      </c>
      <c r="BK69" s="40">
        <v>0</v>
      </c>
      <c r="BL69" s="40">
        <v>0</v>
      </c>
      <c r="BM69" s="40">
        <v>0</v>
      </c>
      <c r="BN69" s="48">
        <v>0</v>
      </c>
      <c r="BO69" s="40">
        <v>12.68</v>
      </c>
      <c r="BP69" s="40">
        <v>-12.68</v>
      </c>
      <c r="BQ69" s="47">
        <v>0</v>
      </c>
      <c r="BR69" s="40">
        <v>0</v>
      </c>
      <c r="BS69" s="48">
        <v>12.68</v>
      </c>
      <c r="BT69" s="48">
        <v>0</v>
      </c>
      <c r="BU69" s="47">
        <v>0</v>
      </c>
      <c r="BV69" s="40">
        <v>0</v>
      </c>
      <c r="BW69" s="40">
        <v>0</v>
      </c>
      <c r="BX69" s="40">
        <v>0</v>
      </c>
      <c r="BY69" s="40">
        <v>0</v>
      </c>
      <c r="BZ69" s="40">
        <v>0</v>
      </c>
      <c r="CA69" s="48">
        <v>0</v>
      </c>
      <c r="CB69" s="40">
        <v>0</v>
      </c>
      <c r="CC69" s="40">
        <v>0</v>
      </c>
      <c r="CD69" s="47">
        <v>0</v>
      </c>
      <c r="CE69" s="40">
        <v>0</v>
      </c>
      <c r="CF69" s="48">
        <v>0</v>
      </c>
      <c r="CG69" s="48">
        <v>0</v>
      </c>
      <c r="CH69" s="40">
        <v>0</v>
      </c>
      <c r="CI69" s="40">
        <v>0</v>
      </c>
      <c r="CJ69" s="40">
        <v>0</v>
      </c>
      <c r="CK69" s="40">
        <v>0</v>
      </c>
      <c r="CL69" s="40">
        <v>0</v>
      </c>
      <c r="CM69" s="40">
        <v>0</v>
      </c>
      <c r="CN69" s="40">
        <v>140</v>
      </c>
      <c r="CO69" s="40">
        <v>0</v>
      </c>
      <c r="CP69" s="40">
        <v>120</v>
      </c>
      <c r="CQ69" s="40">
        <v>0</v>
      </c>
      <c r="CR69" s="40">
        <v>80</v>
      </c>
      <c r="CS69" s="48">
        <v>357.14</v>
      </c>
      <c r="CT69" s="40">
        <v>40</v>
      </c>
      <c r="CU69" s="40">
        <v>100</v>
      </c>
      <c r="CV69" s="40">
        <v>100</v>
      </c>
      <c r="CW69" s="40">
        <v>0</v>
      </c>
      <c r="CX69" s="40">
        <v>60</v>
      </c>
      <c r="CY69" s="40">
        <v>80</v>
      </c>
      <c r="CZ69" s="40">
        <v>80</v>
      </c>
      <c r="DA69" s="40">
        <v>80</v>
      </c>
      <c r="DB69" s="40">
        <v>120</v>
      </c>
      <c r="DC69" s="40">
        <v>0</v>
      </c>
      <c r="DD69" s="40">
        <v>0</v>
      </c>
      <c r="DE69" s="40">
        <v>0</v>
      </c>
      <c r="DF69" s="40">
        <v>0</v>
      </c>
      <c r="DG69" s="40">
        <v>0</v>
      </c>
      <c r="DH69" s="40">
        <v>0</v>
      </c>
      <c r="DI69" s="40">
        <v>65</v>
      </c>
      <c r="DJ69" s="40">
        <v>0</v>
      </c>
      <c r="DK69" s="40">
        <v>0</v>
      </c>
      <c r="DL69" s="40">
        <v>0</v>
      </c>
      <c r="DM69" s="40">
        <v>0</v>
      </c>
      <c r="DN69" s="40">
        <v>0</v>
      </c>
      <c r="DO69" s="40">
        <v>0</v>
      </c>
      <c r="DP69" s="40">
        <v>0</v>
      </c>
      <c r="DQ69" s="40">
        <v>0</v>
      </c>
      <c r="DR69" s="40">
        <v>0</v>
      </c>
      <c r="DS69" s="40">
        <v>0</v>
      </c>
      <c r="DT69" s="40">
        <v>0</v>
      </c>
      <c r="DU69" s="40">
        <v>0</v>
      </c>
      <c r="DV69" s="40">
        <v>0</v>
      </c>
      <c r="DW69" s="40">
        <v>0</v>
      </c>
      <c r="DX69" s="40">
        <v>0</v>
      </c>
      <c r="DY69" s="40">
        <v>0</v>
      </c>
      <c r="DZ69" s="40">
        <v>0</v>
      </c>
      <c r="EA69" s="40">
        <v>0</v>
      </c>
      <c r="EB69" s="40">
        <v>0</v>
      </c>
      <c r="EC69" s="40">
        <v>0</v>
      </c>
      <c r="ED69" s="40">
        <v>0</v>
      </c>
      <c r="EE69" s="40">
        <v>0</v>
      </c>
      <c r="EF69" s="40">
        <v>0</v>
      </c>
      <c r="EG69" s="40">
        <v>0</v>
      </c>
      <c r="EH69" s="40">
        <v>0</v>
      </c>
      <c r="EI69" s="40">
        <v>0</v>
      </c>
      <c r="EJ69" s="40">
        <v>0</v>
      </c>
      <c r="EK69" s="40">
        <v>0</v>
      </c>
      <c r="EL69" s="40">
        <v>0</v>
      </c>
      <c r="EM69" s="40">
        <v>0</v>
      </c>
      <c r="EN69" s="40">
        <v>250</v>
      </c>
      <c r="EO69" s="40">
        <v>0</v>
      </c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</row>
    <row r="70" spans="1:255" x14ac:dyDescent="0.25">
      <c r="A70" s="41" t="s">
        <v>216</v>
      </c>
      <c r="B70" s="40">
        <f>346.94</f>
        <v>346.94</v>
      </c>
      <c r="C70" s="40">
        <f>264.31+335.59</f>
        <v>599.9</v>
      </c>
      <c r="D70" s="40">
        <f>315.08</f>
        <v>315.08</v>
      </c>
      <c r="E70" s="40">
        <f>741.72+299.29</f>
        <v>1041.01</v>
      </c>
      <c r="F70" s="40">
        <f>255.65</f>
        <v>255.65</v>
      </c>
      <c r="G70" s="40">
        <f>310.91+185.72</f>
        <v>496.63</v>
      </c>
      <c r="H70" s="40">
        <f>211.81+40.6</f>
        <v>252.41</v>
      </c>
      <c r="I70" s="40">
        <f>247.61+112.22</f>
        <v>359.83000000000004</v>
      </c>
      <c r="J70" s="40">
        <f>229.77</f>
        <v>229.77</v>
      </c>
      <c r="K70" s="40">
        <f>276.14+64.04</f>
        <v>340.18</v>
      </c>
      <c r="L70" s="40">
        <v>322.14999999999998</v>
      </c>
      <c r="M70" s="40">
        <f>316+30.43</f>
        <v>346.43</v>
      </c>
      <c r="N70" s="40">
        <f>418.51+28.37</f>
        <v>446.88</v>
      </c>
      <c r="O70" s="40">
        <f>398.28+14.33</f>
        <v>412.60999999999996</v>
      </c>
      <c r="P70" s="40">
        <f>421.54+26.26</f>
        <v>447.8</v>
      </c>
      <c r="Q70" s="40">
        <f>374.3</f>
        <v>374.3</v>
      </c>
      <c r="R70" s="40">
        <f>320.24+44.21</f>
        <v>364.45</v>
      </c>
      <c r="S70" s="40">
        <f>306.96+76.12</f>
        <v>383.08</v>
      </c>
      <c r="T70" s="40">
        <f>338.04+109.9</f>
        <v>447.94000000000005</v>
      </c>
      <c r="U70" s="40">
        <f>274.58</f>
        <v>274.58</v>
      </c>
      <c r="V70" s="40">
        <f>168.21</f>
        <v>168.21</v>
      </c>
      <c r="W70" s="40">
        <f>265.51+352.75</f>
        <v>618.26</v>
      </c>
      <c r="X70" s="40">
        <f>271.8+188.96</f>
        <v>460.76</v>
      </c>
      <c r="Y70" s="40">
        <f>237.74</f>
        <v>237.74</v>
      </c>
      <c r="Z70" s="40">
        <f t="shared" si="41"/>
        <v>223.01999999999998</v>
      </c>
      <c r="AA70" s="59">
        <v>5000</v>
      </c>
      <c r="AB70" s="60">
        <v>5000</v>
      </c>
      <c r="AC70" s="40" t="s">
        <v>4</v>
      </c>
      <c r="AD70" s="40">
        <f t="shared" si="34"/>
        <v>4058.04</v>
      </c>
      <c r="AE70" s="40">
        <f>+AI70/12*A108</f>
        <v>6000</v>
      </c>
      <c r="AF70" s="40">
        <f t="shared" si="35"/>
        <v>-1941.96</v>
      </c>
      <c r="AG70" s="40">
        <f t="shared" si="36"/>
        <v>5484.55</v>
      </c>
      <c r="AH70" s="40" t="s">
        <v>4</v>
      </c>
      <c r="AI70" s="61">
        <v>6000</v>
      </c>
      <c r="AJ70" s="62">
        <f t="shared" si="37"/>
        <v>0.67633999999999994</v>
      </c>
      <c r="AK70" s="62"/>
      <c r="AL70" s="40">
        <f>273.83+271.9</f>
        <v>545.73</v>
      </c>
      <c r="AM70" s="40">
        <f>257.2+420.01</f>
        <v>677.21</v>
      </c>
      <c r="AN70" s="40">
        <f>306.6+82.34</f>
        <v>388.94000000000005</v>
      </c>
      <c r="AO70" s="40">
        <f>402.16+17.18</f>
        <v>419.34000000000003</v>
      </c>
      <c r="AP70" s="40">
        <f>16.46+378.66</f>
        <v>395.12</v>
      </c>
      <c r="AQ70" s="40">
        <f>377.08+14.5</f>
        <v>391.58</v>
      </c>
      <c r="AR70" s="40">
        <f>374.84+14.51</f>
        <v>389.34999999999997</v>
      </c>
      <c r="AS70" s="40">
        <f>256.3+26.9</f>
        <v>283.2</v>
      </c>
      <c r="AT70" s="40">
        <f>270.84+164.69</f>
        <v>435.53</v>
      </c>
      <c r="AU70" s="40">
        <f>279.4+179.09</f>
        <v>458.49</v>
      </c>
      <c r="AV70" s="40">
        <f>300.51+311.76</f>
        <v>612.27</v>
      </c>
      <c r="AW70" s="40">
        <f>269.87+318.09</f>
        <v>587.96</v>
      </c>
      <c r="AX70" s="40">
        <f>283.41+471.07</f>
        <v>754.48</v>
      </c>
      <c r="AY70" s="40">
        <f>171.94+300.51</f>
        <v>472.45</v>
      </c>
      <c r="AZ70" s="40">
        <f>370.03+42.58</f>
        <v>412.60999999999996</v>
      </c>
      <c r="BA70" s="40">
        <f>408.18+16.41</f>
        <v>424.59000000000003</v>
      </c>
      <c r="BB70" s="40">
        <f>479.06+15.25</f>
        <v>494.31</v>
      </c>
      <c r="BC70" s="40">
        <f>388.46+15.26</f>
        <v>403.71999999999997</v>
      </c>
      <c r="BD70" s="40">
        <f>343.13+15.33</f>
        <v>358.46</v>
      </c>
      <c r="BE70" s="40">
        <f>251.88+324.34</f>
        <v>576.22</v>
      </c>
      <c r="BF70" s="40">
        <f>323.48+76.7</f>
        <v>400.18</v>
      </c>
      <c r="BG70" s="40">
        <f>278.7+183.37</f>
        <v>462.07</v>
      </c>
      <c r="BH70" s="40">
        <f>325.61+227.2</f>
        <v>552.80999999999995</v>
      </c>
      <c r="BI70" s="47">
        <f>344.82+299.57</f>
        <v>644.39</v>
      </c>
      <c r="BJ70" s="40">
        <f>311.64+292.48</f>
        <v>604.12</v>
      </c>
      <c r="BK70" s="40">
        <f>313.89+80.31</f>
        <v>394.2</v>
      </c>
      <c r="BL70" s="40">
        <f>363.98+22.19</f>
        <v>386.17</v>
      </c>
      <c r="BM70" s="40">
        <f>412.34+14.92</f>
        <v>427.26</v>
      </c>
      <c r="BN70" s="48">
        <f>411.29+13.7</f>
        <v>424.99</v>
      </c>
      <c r="BO70" s="40">
        <f>253.61+14.73</f>
        <v>268.34000000000003</v>
      </c>
      <c r="BP70" s="40">
        <f>222.23+13.93</f>
        <v>236.16</v>
      </c>
      <c r="BQ70" s="47">
        <f>162.87+50.11</f>
        <v>212.98000000000002</v>
      </c>
      <c r="BR70" s="40">
        <f>198.62+87.37</f>
        <v>285.99</v>
      </c>
      <c r="BS70" s="48">
        <f>178.33-109.2</f>
        <v>69.13000000000001</v>
      </c>
      <c r="BT70" s="48">
        <f>200.9+215.84</f>
        <v>416.74</v>
      </c>
      <c r="BU70" s="47">
        <f>203.63+545.07</f>
        <v>748.7</v>
      </c>
      <c r="BV70" s="40">
        <f>171.89+194.58</f>
        <v>366.47</v>
      </c>
      <c r="BW70" s="40">
        <f>197.51+89.24</f>
        <v>286.75</v>
      </c>
      <c r="BX70" s="40">
        <f>270.01+30.53</f>
        <v>300.53999999999996</v>
      </c>
      <c r="BY70" s="40">
        <f>314.22+13.7</f>
        <v>327.92</v>
      </c>
      <c r="BZ70" s="40">
        <v>320.14999999999998</v>
      </c>
      <c r="CA70" s="48">
        <f>227.55+13.62</f>
        <v>241.17000000000002</v>
      </c>
      <c r="CB70" s="40">
        <f>196.79+13.58</f>
        <v>210.37</v>
      </c>
      <c r="CC70" s="40">
        <f>39.63+190.68</f>
        <v>230.31</v>
      </c>
      <c r="CD70" s="47">
        <f>198.92+97.87</f>
        <v>296.78999999999996</v>
      </c>
      <c r="CE70" s="40">
        <f>183.78+433.27</f>
        <v>617.04999999999995</v>
      </c>
      <c r="CF70" s="48">
        <f>202.49+290.69</f>
        <v>493.18</v>
      </c>
      <c r="CG70" s="48">
        <v>214.96</v>
      </c>
      <c r="CH70" s="40">
        <f>169.88+299.26</f>
        <v>469.14</v>
      </c>
      <c r="CI70" s="40">
        <f>193.25+168.66</f>
        <v>361.90999999999997</v>
      </c>
      <c r="CJ70" s="40">
        <f>225.67+310.29</f>
        <v>535.96</v>
      </c>
      <c r="CK70" s="40">
        <f>317.88+24.19</f>
        <v>342.07</v>
      </c>
      <c r="CL70" s="40">
        <f>292.57+16.39</f>
        <v>308.95999999999998</v>
      </c>
      <c r="CM70" s="40">
        <f>225.16+16.66</f>
        <v>241.82</v>
      </c>
      <c r="CN70" s="40">
        <f>213.24+18.78</f>
        <v>232.02</v>
      </c>
      <c r="CO70" s="40">
        <f>179.17+113.11</f>
        <v>292.27999999999997</v>
      </c>
      <c r="CP70" s="40">
        <f>178.41+250.68</f>
        <v>429.09000000000003</v>
      </c>
      <c r="CQ70" s="40">
        <f>187.99+422.35</f>
        <v>610.34</v>
      </c>
      <c r="CR70" s="40">
        <f>229.37+409.31</f>
        <v>638.68000000000006</v>
      </c>
      <c r="CS70" s="48">
        <f>202.03+471.37</f>
        <v>673.4</v>
      </c>
      <c r="CT70" s="40">
        <f>319.58-217.34</f>
        <v>102.23999999999998</v>
      </c>
      <c r="CU70" s="40">
        <f>325.34+147.09</f>
        <v>472.42999999999995</v>
      </c>
      <c r="CV70" s="40">
        <f>385.26+45.63</f>
        <v>430.89</v>
      </c>
      <c r="CW70" s="40">
        <f>527.82+20.14</f>
        <v>547.96</v>
      </c>
      <c r="CX70" s="40">
        <f>503.16+13.29</f>
        <v>516.45000000000005</v>
      </c>
      <c r="CY70" s="40">
        <f>398.66+14.86</f>
        <v>413.52000000000004</v>
      </c>
      <c r="CZ70" s="40">
        <f>423.06+17.54</f>
        <v>440.6</v>
      </c>
      <c r="DA70" s="40">
        <f>374.76+63.64</f>
        <v>438.4</v>
      </c>
      <c r="DB70" s="40">
        <f>329.27+196.04</f>
        <v>525.30999999999995</v>
      </c>
      <c r="DC70" s="40">
        <f>302.25+253.6</f>
        <v>555.85</v>
      </c>
      <c r="DD70" s="40">
        <f>324.18+309.43</f>
        <v>633.61</v>
      </c>
      <c r="DE70" s="40">
        <f>297.97+320.21</f>
        <v>618.18000000000006</v>
      </c>
      <c r="DF70" s="40">
        <f>339.37+279.19</f>
        <v>618.55999999999995</v>
      </c>
      <c r="DG70" s="40">
        <f>316.64+115.81</f>
        <v>432.45</v>
      </c>
      <c r="DH70" s="40">
        <f>343.11+55.3</f>
        <v>398.41</v>
      </c>
      <c r="DI70" s="40">
        <f>405.48+14.68</f>
        <v>420.16</v>
      </c>
      <c r="DJ70" s="40">
        <f>457.13+15.03</f>
        <v>472.15999999999997</v>
      </c>
      <c r="DK70" s="40">
        <f>391.95+14.8</f>
        <v>406.75</v>
      </c>
      <c r="DL70" s="40">
        <f>328.09+14.56</f>
        <v>342.65</v>
      </c>
      <c r="DM70" s="40">
        <f>287.74+23.95</f>
        <v>311.69</v>
      </c>
      <c r="DN70" s="40">
        <f>337.91+94.36</f>
        <v>432.27000000000004</v>
      </c>
      <c r="DO70" s="40">
        <f>304.49+124.32</f>
        <v>428.81</v>
      </c>
      <c r="DP70" s="40">
        <f>298.44+250.24</f>
        <v>548.68000000000006</v>
      </c>
      <c r="DQ70" s="40">
        <f>275.18+313.91</f>
        <v>589.09</v>
      </c>
      <c r="DR70" s="40">
        <f>297.88+257.39</f>
        <v>555.27</v>
      </c>
      <c r="DS70" s="40">
        <f>313.24+194.87</f>
        <v>508.11</v>
      </c>
      <c r="DT70" s="40">
        <f>330.14+48.33</f>
        <v>378.46999999999997</v>
      </c>
      <c r="DU70" s="40">
        <f>472.46+34.16</f>
        <v>506.62</v>
      </c>
      <c r="DV70" s="40">
        <f>522.18+15.01</f>
        <v>537.18999999999994</v>
      </c>
      <c r="DW70" s="40">
        <f>370.98+15.81</f>
        <v>386.79</v>
      </c>
      <c r="DX70" s="40">
        <f>311.02+15.1</f>
        <v>326.12</v>
      </c>
      <c r="DY70" s="40">
        <f>260.73+59.95</f>
        <v>320.68</v>
      </c>
      <c r="DZ70" s="40">
        <f>301.21+126.3</f>
        <v>427.51</v>
      </c>
      <c r="EA70" s="40">
        <f>262.75+201.14</f>
        <v>463.89</v>
      </c>
      <c r="EB70" s="40">
        <f>307.75+314.16</f>
        <v>621.91000000000008</v>
      </c>
      <c r="EC70" s="40">
        <f>320.07+349.24</f>
        <v>669.31</v>
      </c>
      <c r="ED70" s="40">
        <v>634.29</v>
      </c>
      <c r="EE70" s="40">
        <v>532</v>
      </c>
      <c r="EF70" s="40">
        <v>393.54</v>
      </c>
      <c r="EG70" s="40">
        <v>499.41</v>
      </c>
      <c r="EH70" s="40">
        <v>487.6</v>
      </c>
      <c r="EI70" s="40">
        <v>373.9</v>
      </c>
      <c r="EJ70" s="40">
        <v>342.46</v>
      </c>
      <c r="EK70" s="40">
        <v>373.43</v>
      </c>
      <c r="EL70" s="40">
        <v>426.19</v>
      </c>
      <c r="EM70" s="40">
        <v>563.26</v>
      </c>
      <c r="EN70" s="40">
        <v>643.62</v>
      </c>
      <c r="EO70" s="40">
        <f>270.93+454.76</f>
        <v>725.69</v>
      </c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</row>
    <row r="71" spans="1:255" x14ac:dyDescent="0.25">
      <c r="A71" s="41" t="s">
        <v>217</v>
      </c>
      <c r="B71" s="40">
        <v>0</v>
      </c>
      <c r="C71" s="40">
        <v>51.3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136.19999999999999</v>
      </c>
      <c r="N71" s="40">
        <v>0</v>
      </c>
      <c r="O71" s="40">
        <v>0</v>
      </c>
      <c r="P71" s="40">
        <v>0</v>
      </c>
      <c r="Q71" s="40">
        <v>0</v>
      </c>
      <c r="R71" s="40">
        <v>9394</v>
      </c>
      <c r="S71" s="40">
        <v>9633</v>
      </c>
      <c r="T71" s="40">
        <v>0</v>
      </c>
      <c r="U71" s="40">
        <v>-186</v>
      </c>
      <c r="V71" s="40">
        <v>0</v>
      </c>
      <c r="W71" s="40">
        <v>0</v>
      </c>
      <c r="X71" s="40">
        <v>0</v>
      </c>
      <c r="Y71" s="40">
        <v>-558.70000000000005</v>
      </c>
      <c r="Z71" s="40">
        <f t="shared" si="41"/>
        <v>558.70000000000005</v>
      </c>
      <c r="AA71" s="59">
        <v>9500</v>
      </c>
      <c r="AB71" s="60">
        <v>9500</v>
      </c>
      <c r="AC71" s="40" t="s">
        <v>4</v>
      </c>
      <c r="AD71" s="40">
        <f t="shared" si="34"/>
        <v>9394</v>
      </c>
      <c r="AE71" s="40">
        <f>+AI71/12*A108</f>
        <v>10000</v>
      </c>
      <c r="AF71" s="40">
        <f t="shared" si="35"/>
        <v>-606</v>
      </c>
      <c r="AG71" s="40">
        <f t="shared" si="36"/>
        <v>9075.7999999999993</v>
      </c>
      <c r="AH71" s="40" t="s">
        <v>4</v>
      </c>
      <c r="AI71" s="61">
        <v>10000</v>
      </c>
      <c r="AJ71" s="62">
        <f t="shared" si="37"/>
        <v>0.93940000000000001</v>
      </c>
      <c r="AK71" s="62"/>
      <c r="AL71" s="40">
        <v>-123</v>
      </c>
      <c r="AM71" s="40">
        <v>0</v>
      </c>
      <c r="AN71" s="40">
        <v>8865</v>
      </c>
      <c r="AO71" s="40">
        <v>0</v>
      </c>
      <c r="AP71" s="40">
        <v>0</v>
      </c>
      <c r="AQ71" s="40">
        <v>0</v>
      </c>
      <c r="AR71" s="40">
        <v>144.69999999999999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f>57.1-188</f>
        <v>-130.9</v>
      </c>
      <c r="AY71" s="40">
        <v>0</v>
      </c>
      <c r="AZ71" s="40">
        <v>8738</v>
      </c>
      <c r="BA71" s="40">
        <v>0</v>
      </c>
      <c r="BB71" s="40">
        <v>0</v>
      </c>
      <c r="BC71" s="40">
        <v>147.69999999999999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7">
        <v>0</v>
      </c>
      <c r="BJ71" s="40">
        <v>-1230.3</v>
      </c>
      <c r="BK71" s="40">
        <v>0</v>
      </c>
      <c r="BL71" s="40">
        <v>0</v>
      </c>
      <c r="BM71" s="40">
        <v>10268</v>
      </c>
      <c r="BN71" s="48">
        <v>-177</v>
      </c>
      <c r="BO71" s="40">
        <v>0</v>
      </c>
      <c r="BP71" s="40">
        <v>138.69999999999999</v>
      </c>
      <c r="BQ71" s="47">
        <v>0</v>
      </c>
      <c r="BR71" s="40">
        <v>0</v>
      </c>
      <c r="BS71" s="48">
        <v>0</v>
      </c>
      <c r="BT71" s="48">
        <v>0</v>
      </c>
      <c r="BU71" s="47">
        <v>0</v>
      </c>
      <c r="BV71" s="40">
        <f>45.6-71</f>
        <v>-25.4</v>
      </c>
      <c r="BW71" s="40">
        <v>0</v>
      </c>
      <c r="BX71" s="40">
        <v>11235</v>
      </c>
      <c r="BY71" s="40">
        <v>0</v>
      </c>
      <c r="BZ71" s="40">
        <v>0</v>
      </c>
      <c r="CA71" s="48">
        <v>152.9</v>
      </c>
      <c r="CB71" s="40">
        <v>0</v>
      </c>
      <c r="CC71" s="40">
        <v>0</v>
      </c>
      <c r="CD71" s="47">
        <v>0</v>
      </c>
      <c r="CE71" s="40">
        <v>0</v>
      </c>
      <c r="CF71" s="48">
        <v>0</v>
      </c>
      <c r="CG71" s="48">
        <v>45.5</v>
      </c>
      <c r="CH71" s="40">
        <v>-42</v>
      </c>
      <c r="CI71" s="40">
        <v>0</v>
      </c>
      <c r="CJ71" s="40">
        <v>11430</v>
      </c>
      <c r="CK71" s="40">
        <v>0</v>
      </c>
      <c r="CL71" s="40">
        <v>0</v>
      </c>
      <c r="CM71" s="40">
        <v>170.1</v>
      </c>
      <c r="CN71" s="40">
        <v>0</v>
      </c>
      <c r="CO71" s="40">
        <v>0</v>
      </c>
      <c r="CP71" s="40">
        <v>0</v>
      </c>
      <c r="CQ71" s="40">
        <v>1245</v>
      </c>
      <c r="CR71" s="40">
        <v>0</v>
      </c>
      <c r="CS71" s="48">
        <v>30</v>
      </c>
      <c r="CT71" s="40">
        <v>-13</v>
      </c>
      <c r="CU71" s="40">
        <v>0</v>
      </c>
      <c r="CV71" s="40">
        <v>10043</v>
      </c>
      <c r="CW71" s="40">
        <v>0</v>
      </c>
      <c r="CX71" s="40">
        <v>0</v>
      </c>
      <c r="CY71" s="40">
        <v>0</v>
      </c>
      <c r="CZ71" s="40">
        <v>217.1</v>
      </c>
      <c r="DA71" s="40">
        <v>0</v>
      </c>
      <c r="DB71" s="40">
        <v>79</v>
      </c>
      <c r="DC71" s="40">
        <v>0</v>
      </c>
      <c r="DD71" s="40">
        <v>0</v>
      </c>
      <c r="DE71" s="40">
        <v>80.099999999999994</v>
      </c>
      <c r="DF71" s="40">
        <v>0</v>
      </c>
      <c r="DG71" s="40">
        <v>0</v>
      </c>
      <c r="DH71" s="40">
        <v>8951</v>
      </c>
      <c r="DI71" s="40">
        <v>0</v>
      </c>
      <c r="DJ71" s="40">
        <v>0</v>
      </c>
      <c r="DK71" s="40">
        <v>0</v>
      </c>
      <c r="DL71" s="40">
        <v>185.4</v>
      </c>
      <c r="DM71" s="40">
        <v>0</v>
      </c>
      <c r="DN71" s="40">
        <v>0</v>
      </c>
      <c r="DO71" s="40">
        <v>0</v>
      </c>
      <c r="DP71" s="40">
        <v>0</v>
      </c>
      <c r="DQ71" s="40">
        <v>68.599999999999994</v>
      </c>
      <c r="DR71" s="40">
        <v>1243</v>
      </c>
      <c r="DS71" s="40">
        <v>0</v>
      </c>
      <c r="DT71" s="40">
        <v>7540</v>
      </c>
      <c r="DU71" s="40">
        <v>0</v>
      </c>
      <c r="DV71" s="40">
        <v>0</v>
      </c>
      <c r="DW71" s="40">
        <v>0</v>
      </c>
      <c r="DX71" s="40">
        <v>225.7</v>
      </c>
      <c r="DY71" s="40">
        <v>0</v>
      </c>
      <c r="DZ71" s="40">
        <v>-128</v>
      </c>
      <c r="EA71" s="40">
        <v>3676.5</v>
      </c>
      <c r="EB71" s="40">
        <v>0</v>
      </c>
      <c r="EC71" s="40">
        <v>70.8</v>
      </c>
      <c r="ED71" s="40">
        <v>0</v>
      </c>
      <c r="EE71" s="40">
        <v>3676.5</v>
      </c>
      <c r="EF71" s="40">
        <v>0</v>
      </c>
      <c r="EG71" s="40">
        <v>0</v>
      </c>
      <c r="EH71" s="40">
        <v>0</v>
      </c>
      <c r="EI71" s="40">
        <v>2921.8</v>
      </c>
      <c r="EJ71" s="40">
        <v>0</v>
      </c>
      <c r="EK71" s="40">
        <v>0</v>
      </c>
      <c r="EL71" s="40">
        <v>2676</v>
      </c>
      <c r="EM71" s="40">
        <v>0</v>
      </c>
      <c r="EN71" s="40">
        <v>198.6</v>
      </c>
      <c r="EO71" s="40">
        <v>3648</v>
      </c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</row>
    <row r="72" spans="1:255" x14ac:dyDescent="0.25">
      <c r="A72" s="41" t="s">
        <v>218</v>
      </c>
      <c r="B72" s="40">
        <v>2370.27</v>
      </c>
      <c r="C72" s="40">
        <f>2366.23+142.02</f>
        <v>2508.25</v>
      </c>
      <c r="D72" s="40">
        <f>1551.34</f>
        <v>1551.34</v>
      </c>
      <c r="E72" s="40">
        <v>2129</v>
      </c>
      <c r="F72" s="40">
        <f>81.86</f>
        <v>81.86</v>
      </c>
      <c r="G72" s="40">
        <v>1000.52</v>
      </c>
      <c r="H72" s="40">
        <f>460.74</f>
        <v>460.74</v>
      </c>
      <c r="I72" s="40">
        <v>1945.6</v>
      </c>
      <c r="J72" s="40">
        <f>916.66</f>
        <v>916.66</v>
      </c>
      <c r="K72" s="40">
        <v>1115.02</v>
      </c>
      <c r="L72" s="40">
        <v>843.95</v>
      </c>
      <c r="M72" s="40">
        <v>676.8</v>
      </c>
      <c r="N72" s="40">
        <f>1127.72</f>
        <v>1127.72</v>
      </c>
      <c r="O72" s="40">
        <v>1034.51</v>
      </c>
      <c r="P72" s="40">
        <f>1804.85</f>
        <v>1804.85</v>
      </c>
      <c r="Q72" s="40">
        <v>3701.6</v>
      </c>
      <c r="R72" s="40">
        <v>1589.52</v>
      </c>
      <c r="S72" s="40">
        <v>509.32</v>
      </c>
      <c r="T72" s="40">
        <f>973.71+316.6</f>
        <v>1290.31</v>
      </c>
      <c r="U72" s="40">
        <v>6724.45</v>
      </c>
      <c r="V72" s="40">
        <f>739.9</f>
        <v>739.9</v>
      </c>
      <c r="W72" s="40">
        <v>1656.4</v>
      </c>
      <c r="X72" s="40">
        <f>1163.88+253.01</f>
        <v>1416.89</v>
      </c>
      <c r="Y72" s="40">
        <v>2797.53</v>
      </c>
      <c r="Z72" s="40">
        <f t="shared" si="41"/>
        <v>-1380.64</v>
      </c>
      <c r="AA72" s="59">
        <v>14000</v>
      </c>
      <c r="AB72" s="112">
        <v>15000</v>
      </c>
      <c r="AC72" s="40" t="s">
        <v>4</v>
      </c>
      <c r="AD72" s="40">
        <f t="shared" si="34"/>
        <v>14194.009999999998</v>
      </c>
      <c r="AE72" s="40">
        <f>+AI72/12*A108</f>
        <v>30185</v>
      </c>
      <c r="AF72" s="40">
        <f t="shared" si="35"/>
        <v>-15990.990000000002</v>
      </c>
      <c r="AG72" s="40">
        <f t="shared" si="36"/>
        <v>25799</v>
      </c>
      <c r="AH72" s="40" t="s">
        <v>4</v>
      </c>
      <c r="AI72" s="61">
        <v>30185</v>
      </c>
      <c r="AJ72" s="62">
        <f t="shared" si="37"/>
        <v>0.47023389100546625</v>
      </c>
      <c r="AK72" s="62"/>
      <c r="AL72" s="40">
        <v>-7504.68</v>
      </c>
      <c r="AM72" s="40">
        <f>2822.59+447.3</f>
        <v>3269.8900000000003</v>
      </c>
      <c r="AN72" s="40">
        <f>11261.61-3770.2</f>
        <v>7491.4100000000008</v>
      </c>
      <c r="AO72" s="40">
        <f>1542.9+326.62</f>
        <v>1869.52</v>
      </c>
      <c r="AP72" s="40">
        <f>1338.18+3518.65</f>
        <v>4856.83</v>
      </c>
      <c r="AQ72" s="40">
        <f>1023.02+411</f>
        <v>1434.02</v>
      </c>
      <c r="AR72" s="40">
        <f>1945.77+209.29</f>
        <v>2155.06</v>
      </c>
      <c r="AS72" s="40">
        <f>1483+209.29</f>
        <v>1692.29</v>
      </c>
      <c r="AT72" s="40">
        <f>2814.33+209.29</f>
        <v>3023.62</v>
      </c>
      <c r="AU72" s="40">
        <f>1456.52+513.63+580</f>
        <v>2550.15</v>
      </c>
      <c r="AV72" s="40">
        <f>1914.39+209.29</f>
        <v>2123.6800000000003</v>
      </c>
      <c r="AW72" s="40">
        <f>925.96+209.29</f>
        <v>1135.25</v>
      </c>
      <c r="AX72" s="40">
        <f>2058.8+431.09</f>
        <v>2489.8900000000003</v>
      </c>
      <c r="AY72" s="40">
        <f>-244.21+209.29</f>
        <v>-34.920000000000016</v>
      </c>
      <c r="AZ72" s="40">
        <f>8357.54+209.29</f>
        <v>8566.8300000000017</v>
      </c>
      <c r="BA72" s="40">
        <f>2628.86+408.3</f>
        <v>3037.1600000000003</v>
      </c>
      <c r="BB72" s="40">
        <f>7138.95+209.29</f>
        <v>7348.24</v>
      </c>
      <c r="BC72" s="40">
        <f>1520.78+209.29</f>
        <v>1730.07</v>
      </c>
      <c r="BD72" s="40">
        <f>535+521.15</f>
        <v>1056.1500000000001</v>
      </c>
      <c r="BE72" s="40">
        <f>1019+161.99</f>
        <v>1180.99</v>
      </c>
      <c r="BF72" s="40">
        <f>3934.59+209.29</f>
        <v>4143.88</v>
      </c>
      <c r="BG72" s="40">
        <f>2940.56+543.42</f>
        <v>3483.98</v>
      </c>
      <c r="BH72" s="40">
        <f>832+209.29+924.5</f>
        <v>1965.79</v>
      </c>
      <c r="BI72" s="47">
        <f>1053.22+209.29</f>
        <v>1262.51</v>
      </c>
      <c r="BJ72" s="40">
        <f>1236.54+374.6</f>
        <v>1611.1399999999999</v>
      </c>
      <c r="BK72" s="40">
        <f>897.5+209.29</f>
        <v>1106.79</v>
      </c>
      <c r="BL72" s="40">
        <f>9529.41+209.29</f>
        <v>9738.7000000000007</v>
      </c>
      <c r="BM72" s="40">
        <f>1101.03+515.73</f>
        <v>1616.76</v>
      </c>
      <c r="BN72" s="48">
        <f>1347.25+209.29</f>
        <v>1556.54</v>
      </c>
      <c r="BO72" s="40">
        <f>564.8+209.29</f>
        <v>774.08999999999992</v>
      </c>
      <c r="BP72" s="40">
        <f>408.25+655.94</f>
        <v>1064.19</v>
      </c>
      <c r="BQ72" s="47">
        <f>501.6+209.29</f>
        <v>710.89</v>
      </c>
      <c r="BR72" s="40">
        <f>875.4+209.29+55</f>
        <v>1139.69</v>
      </c>
      <c r="BS72" s="48">
        <f>435+651.85</f>
        <v>1086.8499999999999</v>
      </c>
      <c r="BT72" s="48">
        <f>964.5+141.89</f>
        <v>1106.3899999999999</v>
      </c>
      <c r="BU72" s="47">
        <f>574+209.29</f>
        <v>783.29</v>
      </c>
      <c r="BV72" s="40">
        <f>3555+550.93</f>
        <v>4105.93</v>
      </c>
      <c r="BW72" s="40">
        <f>902.21+209.29</f>
        <v>1111.5</v>
      </c>
      <c r="BX72" s="40">
        <f>8799.12+209.29+598.96</f>
        <v>9607.3700000000026</v>
      </c>
      <c r="BY72" s="40">
        <f>2961.6+336.27</f>
        <v>3297.87</v>
      </c>
      <c r="BZ72" s="40">
        <f>2079.52+209.29</f>
        <v>2288.81</v>
      </c>
      <c r="CA72" s="48">
        <f>2051.73+183.79</f>
        <v>2235.52</v>
      </c>
      <c r="CB72" s="40">
        <f>2219.46+336.08</f>
        <v>2555.54</v>
      </c>
      <c r="CC72" s="40">
        <f>1655.75+353.9+209.29</f>
        <v>2218.94</v>
      </c>
      <c r="CD72" s="47">
        <f>407.75+165.49</f>
        <v>573.24</v>
      </c>
      <c r="CE72" s="40">
        <f>666+460.94</f>
        <v>1126.94</v>
      </c>
      <c r="CF72" s="48">
        <f>619+87.94</f>
        <v>706.94</v>
      </c>
      <c r="CG72" s="48">
        <f>608+358.58</f>
        <v>966.57999999999993</v>
      </c>
      <c r="CH72" s="40">
        <f>877.5+149.34</f>
        <v>1026.8399999999999</v>
      </c>
      <c r="CI72" s="40">
        <f>782.01+776.02</f>
        <v>1558.03</v>
      </c>
      <c r="CJ72" s="40">
        <f>7676.52+275.53</f>
        <v>7952.05</v>
      </c>
      <c r="CK72" s="40">
        <f>280+275.53</f>
        <v>555.53</v>
      </c>
      <c r="CL72" s="40">
        <f>308.85+795.04+623.25</f>
        <v>1727.1399999999999</v>
      </c>
      <c r="CM72" s="40">
        <f>1952+275.53</f>
        <v>2227.5299999999997</v>
      </c>
      <c r="CN72" s="40">
        <f>313+275.53</f>
        <v>588.53</v>
      </c>
      <c r="CO72" s="40">
        <f>846.95+574.91</f>
        <v>1421.8600000000001</v>
      </c>
      <c r="CP72" s="40">
        <f>757+275.53</f>
        <v>1032.53</v>
      </c>
      <c r="CQ72" s="40">
        <f>1901.5+275.53</f>
        <v>2177.0299999999997</v>
      </c>
      <c r="CR72" s="40">
        <f>6403.54+477.39</f>
        <v>6880.93</v>
      </c>
      <c r="CS72" s="48">
        <f>520+275.53</f>
        <v>795.53</v>
      </c>
      <c r="CT72" s="40">
        <f>1716.4+275.53</f>
        <v>1991.93</v>
      </c>
      <c r="CU72" s="40">
        <f>283.35+456.63</f>
        <v>739.98</v>
      </c>
      <c r="CV72" s="40">
        <f>8003.77+184.87</f>
        <v>8188.64</v>
      </c>
      <c r="CW72" s="40">
        <f>1014.79+275.53</f>
        <v>1290.32</v>
      </c>
      <c r="CX72" s="40">
        <f>1054+430.22</f>
        <v>1484.22</v>
      </c>
      <c r="CY72" s="40">
        <f>2564.33+275.53</f>
        <v>2839.8599999999997</v>
      </c>
      <c r="CZ72" s="40">
        <f>859.9+275.53</f>
        <v>1135.4299999999998</v>
      </c>
      <c r="DA72" s="40">
        <f>1111.2+471.73</f>
        <v>1582.93</v>
      </c>
      <c r="DB72" s="40">
        <f>338.45+275.53</f>
        <v>613.98</v>
      </c>
      <c r="DC72" s="40">
        <f>2998.58+139.5</f>
        <v>3138.08</v>
      </c>
      <c r="DD72" s="40">
        <f>1050.97+400.41</f>
        <v>1451.38</v>
      </c>
      <c r="DE72" s="40">
        <f>1113+275.53</f>
        <v>1388.53</v>
      </c>
      <c r="DF72" s="40">
        <v>1989.5</v>
      </c>
      <c r="DG72" s="40">
        <v>458.05</v>
      </c>
      <c r="DH72" s="40">
        <v>6174.24</v>
      </c>
      <c r="DI72" s="40">
        <v>943.11</v>
      </c>
      <c r="DJ72" s="40">
        <f>823.25+106.95</f>
        <v>930.2</v>
      </c>
      <c r="DK72" s="40">
        <f>356.74+275.53</f>
        <v>632.27</v>
      </c>
      <c r="DL72" s="40">
        <v>514</v>
      </c>
      <c r="DM72" s="40">
        <v>1105</v>
      </c>
      <c r="DN72" s="40">
        <v>3656.24</v>
      </c>
      <c r="DO72" s="40">
        <v>2477.77</v>
      </c>
      <c r="DP72" s="40">
        <v>2061.35</v>
      </c>
      <c r="DQ72" s="40">
        <v>1416</v>
      </c>
      <c r="DR72" s="40">
        <v>3956.3</v>
      </c>
      <c r="DS72" s="40">
        <v>3018.29</v>
      </c>
      <c r="DT72" s="40">
        <v>529</v>
      </c>
      <c r="DU72" s="40">
        <v>6225.42</v>
      </c>
      <c r="DV72" s="40">
        <v>766.9</v>
      </c>
      <c r="DW72" s="40">
        <v>4330.99</v>
      </c>
      <c r="DX72" s="40">
        <v>2527.1999999999998</v>
      </c>
      <c r="DY72" s="40">
        <v>9998.91</v>
      </c>
      <c r="DZ72" s="40">
        <v>730.75</v>
      </c>
      <c r="EA72" s="40">
        <f>1776.77+119.5</f>
        <v>1896.27</v>
      </c>
      <c r="EB72" s="40">
        <v>1301.5</v>
      </c>
      <c r="EC72" s="40">
        <v>752.5</v>
      </c>
      <c r="ED72" s="40">
        <v>3975.63</v>
      </c>
      <c r="EE72" s="40">
        <v>1650.15</v>
      </c>
      <c r="EF72" s="40">
        <v>6734.86</v>
      </c>
      <c r="EG72" s="40">
        <v>2071.13</v>
      </c>
      <c r="EH72" s="40">
        <v>1009.66</v>
      </c>
      <c r="EI72" s="40">
        <v>2421.3200000000002</v>
      </c>
      <c r="EJ72" s="40">
        <v>2315.42</v>
      </c>
      <c r="EK72" s="40">
        <v>1465.74</v>
      </c>
      <c r="EL72" s="40">
        <v>718.5</v>
      </c>
      <c r="EM72" s="40">
        <v>2694.66</v>
      </c>
      <c r="EN72" s="40">
        <v>4687.91</v>
      </c>
      <c r="EO72" s="40">
        <f>1071+150</f>
        <v>1221</v>
      </c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</row>
    <row r="73" spans="1:255" x14ac:dyDescent="0.25">
      <c r="A73" s="41" t="s">
        <v>219</v>
      </c>
      <c r="B73" s="40">
        <f>199.65+241.56</f>
        <v>441.21000000000004</v>
      </c>
      <c r="C73" s="40">
        <f>188.14+262.72</f>
        <v>450.86</v>
      </c>
      <c r="D73" s="40">
        <f>199.65+241.56</f>
        <v>441.21000000000004</v>
      </c>
      <c r="E73" s="40">
        <f>187.72+338.04</f>
        <v>525.76</v>
      </c>
      <c r="F73" s="40">
        <f>199.65+166.46</f>
        <v>366.11</v>
      </c>
      <c r="G73" s="40">
        <f>338.14+112.66</f>
        <v>450.79999999999995</v>
      </c>
      <c r="H73" s="40">
        <f>199.65+241.46</f>
        <v>441.11</v>
      </c>
      <c r="I73" s="40">
        <f>263.14+112.66</f>
        <v>375.79999999999995</v>
      </c>
      <c r="J73" s="40">
        <f>220.32+166.46</f>
        <v>386.78</v>
      </c>
      <c r="K73" s="40">
        <f>206.6+262.66</f>
        <v>469.26</v>
      </c>
      <c r="L73" s="40">
        <f>199.65+241.88</f>
        <v>441.53</v>
      </c>
      <c r="M73" s="40">
        <f>287.47+112.36</f>
        <v>399.83000000000004</v>
      </c>
      <c r="N73" s="40">
        <f>199.65+166.88</f>
        <v>366.53</v>
      </c>
      <c r="O73" s="40">
        <f>220.37+315.58</f>
        <v>535.95000000000005</v>
      </c>
      <c r="P73" s="40">
        <f>199.65+316.88</f>
        <v>516.53</v>
      </c>
      <c r="Q73" s="40">
        <f>220.37+165.58</f>
        <v>385.95000000000005</v>
      </c>
      <c r="R73" s="40">
        <f>199.65+60.24</f>
        <v>259.89</v>
      </c>
      <c r="S73" s="40">
        <f>200.4+240.64</f>
        <v>441.03999999999996</v>
      </c>
      <c r="T73" s="40">
        <f>295.96</f>
        <v>295.95999999999998</v>
      </c>
      <c r="U73" s="40">
        <f>200.4+240.64</f>
        <v>441.03999999999996</v>
      </c>
      <c r="V73" s="40">
        <f>204.68+281.25+571.97</f>
        <v>1057.9000000000001</v>
      </c>
      <c r="W73" s="40">
        <f>200.4+241.82</f>
        <v>442.22</v>
      </c>
      <c r="X73" s="40">
        <f>399.3+216.38+1950</f>
        <v>2565.6800000000003</v>
      </c>
      <c r="Y73" s="40">
        <f>474.4+246.56+355</f>
        <v>1075.96</v>
      </c>
      <c r="Z73" s="40">
        <f t="shared" si="41"/>
        <v>1489.7200000000003</v>
      </c>
      <c r="AA73" s="59">
        <v>8000</v>
      </c>
      <c r="AB73" s="60">
        <v>9000</v>
      </c>
      <c r="AC73" s="40" t="s">
        <v>4</v>
      </c>
      <c r="AD73" s="40">
        <f t="shared" si="34"/>
        <v>7580.44</v>
      </c>
      <c r="AE73" s="40">
        <f>+AI73/12*A108</f>
        <v>8000</v>
      </c>
      <c r="AF73" s="40">
        <f t="shared" si="35"/>
        <v>-419.5600000000004</v>
      </c>
      <c r="AG73" s="40">
        <f t="shared" si="36"/>
        <v>5994.47</v>
      </c>
      <c r="AH73" s="40" t="s">
        <v>4</v>
      </c>
      <c r="AI73" s="61">
        <v>8000</v>
      </c>
      <c r="AJ73" s="62">
        <f t="shared" si="37"/>
        <v>0.94755499999999993</v>
      </c>
      <c r="AK73" s="62"/>
      <c r="AL73" s="40">
        <f>188.14+150+580</f>
        <v>918.14</v>
      </c>
      <c r="AM73" s="40">
        <f>188.14+376.8+50</f>
        <v>614.94000000000005</v>
      </c>
      <c r="AN73" s="40">
        <f>188.14+262.82</f>
        <v>450.96</v>
      </c>
      <c r="AO73" s="40">
        <f>188.14+262.82</f>
        <v>450.96</v>
      </c>
      <c r="AP73" s="40">
        <f>188.14+262.62</f>
        <v>450.76</v>
      </c>
      <c r="AQ73" s="40">
        <f>188.14+262.62+500</f>
        <v>950.76</v>
      </c>
      <c r="AR73" s="40">
        <f>188.14+262.62+395.82</f>
        <v>846.57999999999993</v>
      </c>
      <c r="AS73" s="40">
        <f>188.14+262.68</f>
        <v>450.82</v>
      </c>
      <c r="AT73" s="40">
        <f>188.14+262.68</f>
        <v>450.82</v>
      </c>
      <c r="AU73" s="40">
        <f>188.14+262.68</f>
        <v>450.82</v>
      </c>
      <c r="AV73" s="40">
        <f>338.04+262.76</f>
        <v>600.79999999999995</v>
      </c>
      <c r="AW73" s="40">
        <f>188.14+187.76</f>
        <v>375.9</v>
      </c>
      <c r="AX73" s="40">
        <f>188.14+262.76</f>
        <v>450.9</v>
      </c>
      <c r="AY73" s="40">
        <f>188.14+262.66</f>
        <v>450.8</v>
      </c>
      <c r="AZ73" s="40">
        <f>188.14+262.22</f>
        <v>450.36</v>
      </c>
      <c r="BA73" s="40">
        <f>188.14+252.89</f>
        <v>441.03</v>
      </c>
      <c r="BB73" s="40">
        <f>188.14+283.62</f>
        <v>471.76</v>
      </c>
      <c r="BC73" s="40">
        <f>188.14+283.62</f>
        <v>471.76</v>
      </c>
      <c r="BD73" s="40">
        <f>188.14+283.62</f>
        <v>471.76</v>
      </c>
      <c r="BE73" s="40">
        <f>57.85+283.66</f>
        <v>341.51000000000005</v>
      </c>
      <c r="BF73" s="40">
        <f>188.14+283.66+140</f>
        <v>611.79999999999995</v>
      </c>
      <c r="BG73" s="40">
        <f>542.33+337.23</f>
        <v>879.56000000000006</v>
      </c>
      <c r="BH73" s="40">
        <f>893.83+283.54+15.99</f>
        <v>1193.3600000000001</v>
      </c>
      <c r="BI73" s="47">
        <f>653.85+355.77</f>
        <v>1009.62</v>
      </c>
      <c r="BJ73" s="40">
        <f>643.66+261.14+554.85</f>
        <v>1459.65</v>
      </c>
      <c r="BK73" s="40">
        <f>643.51+260.8</f>
        <v>904.31</v>
      </c>
      <c r="BL73" s="40">
        <f>653.12+260.8</f>
        <v>913.92000000000007</v>
      </c>
      <c r="BM73" s="40">
        <f>644.32+260.8</f>
        <v>905.12000000000012</v>
      </c>
      <c r="BN73" s="48">
        <f>644.32+260.86</f>
        <v>905.18000000000006</v>
      </c>
      <c r="BO73" s="40">
        <f>554.04+260.86</f>
        <v>814.9</v>
      </c>
      <c r="BP73" s="40">
        <f>543.89+260.86</f>
        <v>804.75</v>
      </c>
      <c r="BQ73" s="47">
        <f>528.23+260.86</f>
        <v>789.09</v>
      </c>
      <c r="BR73" s="40">
        <f>537.78+260.86</f>
        <v>798.64</v>
      </c>
      <c r="BS73" s="48">
        <f>538.34+260.86+240</f>
        <v>1039.2</v>
      </c>
      <c r="BT73" s="48">
        <f>529.02+260.87</f>
        <v>789.89</v>
      </c>
      <c r="BU73" s="47">
        <f>538.22+235.42</f>
        <v>773.64</v>
      </c>
      <c r="BV73" s="40">
        <f>510.36+292.46</f>
        <v>802.81999999999994</v>
      </c>
      <c r="BW73" s="40">
        <f>501.34+292.2</f>
        <v>793.54</v>
      </c>
      <c r="BX73" s="40">
        <f>501.4+292.2</f>
        <v>793.59999999999991</v>
      </c>
      <c r="BY73" s="40">
        <f>502.08+292.2</f>
        <v>794.28</v>
      </c>
      <c r="BZ73" s="40">
        <f>502.2+441.49</f>
        <v>943.69</v>
      </c>
      <c r="CA73" s="48">
        <f>502.05+306.93</f>
        <v>808.98</v>
      </c>
      <c r="CB73" s="40">
        <f>487.74+306.93</f>
        <v>794.67000000000007</v>
      </c>
      <c r="CC73" s="40">
        <f>487.88+307.01</f>
        <v>794.89</v>
      </c>
      <c r="CD73" s="47">
        <f>487.74+232.01</f>
        <v>719.75</v>
      </c>
      <c r="CE73" s="40">
        <f>486.73+307.01</f>
        <v>793.74</v>
      </c>
      <c r="CF73" s="48">
        <f>486.8+232.95+240</f>
        <v>959.75</v>
      </c>
      <c r="CG73" s="48">
        <f>486.78+302.95</f>
        <v>789.73</v>
      </c>
      <c r="CH73" s="40">
        <f>486.13+302.95</f>
        <v>789.07999999999993</v>
      </c>
      <c r="CI73" s="40">
        <f>485.57+302.67</f>
        <v>788.24</v>
      </c>
      <c r="CJ73" s="40">
        <f>494.58+302.67</f>
        <v>797.25</v>
      </c>
      <c r="CK73" s="40">
        <f>485.07+302.67</f>
        <v>787.74</v>
      </c>
      <c r="CL73" s="40">
        <f>484.89+302.57</f>
        <v>787.46</v>
      </c>
      <c r="CM73" s="40">
        <f>492.38+304.25</f>
        <v>796.63</v>
      </c>
      <c r="CN73" s="40">
        <f>478.53+302.03</f>
        <v>780.56</v>
      </c>
      <c r="CO73" s="40">
        <f>486.95+302.26</f>
        <v>789.21</v>
      </c>
      <c r="CP73" s="40">
        <f>478.41+302.26</f>
        <v>780.67000000000007</v>
      </c>
      <c r="CQ73" s="40">
        <f>470.3+302.26</f>
        <v>772.56</v>
      </c>
      <c r="CR73" s="40">
        <f>470.3+302.21</f>
        <v>772.51</v>
      </c>
      <c r="CS73" s="48">
        <f>469.79+302.21+240</f>
        <v>1012</v>
      </c>
      <c r="CT73" s="40">
        <f>68.4+302.23</f>
        <v>370.63</v>
      </c>
      <c r="CU73" s="40">
        <f>568.46+248.25</f>
        <v>816.71</v>
      </c>
      <c r="CV73" s="40">
        <f>568.53+296.85</f>
        <v>865.38</v>
      </c>
      <c r="CW73" s="40">
        <f>567.79+296.85</f>
        <v>864.64</v>
      </c>
      <c r="CX73" s="40">
        <f>567.65+140.7</f>
        <v>708.34999999999991</v>
      </c>
      <c r="CY73" s="40">
        <f>572.42+296.01</f>
        <v>868.43</v>
      </c>
      <c r="CZ73" s="40">
        <f>556.69+296.73</f>
        <v>853.42000000000007</v>
      </c>
      <c r="DA73" s="40">
        <f>556.69+296.12</f>
        <v>852.81000000000006</v>
      </c>
      <c r="DB73" s="40">
        <f>556.69+296.12</f>
        <v>852.81000000000006</v>
      </c>
      <c r="DC73" s="40">
        <f>557.54+296.12</f>
        <v>853.66</v>
      </c>
      <c r="DD73" s="40">
        <f>557.53+266.29+30</f>
        <v>853.81999999999994</v>
      </c>
      <c r="DE73" s="40">
        <f>541.69+326.29-30</f>
        <v>837.98</v>
      </c>
      <c r="DF73" s="40">
        <f>543.39+328.5</f>
        <v>871.89</v>
      </c>
      <c r="DG73" s="40">
        <f>543.39+326.01</f>
        <v>869.4</v>
      </c>
      <c r="DH73" s="40">
        <f>543.69+326.01</f>
        <v>869.7</v>
      </c>
      <c r="DI73" s="40">
        <f>541.39+296.01</f>
        <v>837.4</v>
      </c>
      <c r="DJ73" s="40">
        <f>522.51+325.63</f>
        <v>848.14</v>
      </c>
      <c r="DK73" s="40">
        <f>522.61+255.63</f>
        <v>778.24</v>
      </c>
      <c r="DL73" s="40">
        <f>521.39+325.63</f>
        <v>847.02</v>
      </c>
      <c r="DM73" s="40">
        <f>520.77+326.01</f>
        <v>846.78</v>
      </c>
      <c r="DN73" s="40">
        <f>520.83+326.01</f>
        <v>846.84</v>
      </c>
      <c r="DO73" s="40">
        <f>521.57+326.01</f>
        <v>847.58</v>
      </c>
      <c r="DP73" s="40">
        <f>513.68+326.15</f>
        <v>839.82999999999993</v>
      </c>
      <c r="DQ73" s="40">
        <f>513.66+326.15</f>
        <v>839.81</v>
      </c>
      <c r="DR73" s="40">
        <f>326.15+510.82</f>
        <v>836.97</v>
      </c>
      <c r="DS73" s="40">
        <f>510.66+325.05</f>
        <v>835.71</v>
      </c>
      <c r="DT73" s="40">
        <f>518.33+659.74</f>
        <v>1178.0700000000002</v>
      </c>
      <c r="DU73" s="40">
        <f>509.77+238.37</f>
        <v>748.14</v>
      </c>
      <c r="DV73" s="40">
        <f>213.96+240.41</f>
        <v>454.37</v>
      </c>
      <c r="DW73" s="40">
        <f>509.56+267.63</f>
        <v>777.19</v>
      </c>
      <c r="DX73" s="40">
        <f>510.57+207.91</f>
        <v>718.48</v>
      </c>
      <c r="DY73" s="40">
        <f>510.06+237.16</f>
        <v>747.22</v>
      </c>
      <c r="DZ73" s="40">
        <f>518.94+237.99</f>
        <v>756.93000000000006</v>
      </c>
      <c r="EA73" s="40">
        <f>511.16+167.44</f>
        <v>678.6</v>
      </c>
      <c r="EB73" s="40">
        <f>510.95+274.15</f>
        <v>785.09999999999991</v>
      </c>
      <c r="EC73" s="40">
        <f>510.9+249.47</f>
        <v>760.37</v>
      </c>
      <c r="ED73" s="40">
        <v>721.67</v>
      </c>
      <c r="EE73" s="40">
        <v>719.09</v>
      </c>
      <c r="EF73" s="40">
        <v>1257.04</v>
      </c>
      <c r="EG73" s="40">
        <v>590.02</v>
      </c>
      <c r="EH73" s="40">
        <v>590.47</v>
      </c>
      <c r="EI73" s="40">
        <v>594.69000000000005</v>
      </c>
      <c r="EJ73" s="40">
        <v>589.67999999999995</v>
      </c>
      <c r="EK73" s="40">
        <v>586.52</v>
      </c>
      <c r="EL73" s="40">
        <v>591.69000000000005</v>
      </c>
      <c r="EM73" s="40">
        <v>582.07000000000005</v>
      </c>
      <c r="EN73" s="40">
        <v>584.74</v>
      </c>
      <c r="EO73" s="40">
        <f>355.39+252.21</f>
        <v>607.6</v>
      </c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</row>
    <row r="74" spans="1:255" x14ac:dyDescent="0.25">
      <c r="A74" s="41" t="s">
        <v>220</v>
      </c>
      <c r="B74" s="40">
        <f>266.64</f>
        <v>266.64</v>
      </c>
      <c r="C74" s="40">
        <v>1233.0999999999999</v>
      </c>
      <c r="D74" s="40">
        <f>1933.24+108.16</f>
        <v>2041.4</v>
      </c>
      <c r="E74" s="40">
        <f>1324.54</f>
        <v>1324.54</v>
      </c>
      <c r="F74" s="40">
        <v>775.75</v>
      </c>
      <c r="G74" s="40">
        <f>783.24+549.02</f>
        <v>1332.26</v>
      </c>
      <c r="H74" s="40">
        <v>264.04000000000002</v>
      </c>
      <c r="I74" s="40">
        <f>1049.08+238.24</f>
        <v>1287.32</v>
      </c>
      <c r="J74" s="40">
        <f>1037.16+44.3</f>
        <v>1081.46</v>
      </c>
      <c r="K74" s="40">
        <v>1508.11</v>
      </c>
      <c r="L74" s="40">
        <f>344.52</f>
        <v>344.52</v>
      </c>
      <c r="M74" s="40">
        <v>0</v>
      </c>
      <c r="N74" s="40">
        <v>954.44</v>
      </c>
      <c r="O74" s="40">
        <f>1343.39+219.08</f>
        <v>1562.47</v>
      </c>
      <c r="P74" s="40">
        <v>3073.55</v>
      </c>
      <c r="Q74" s="40">
        <v>245.2</v>
      </c>
      <c r="R74" s="40">
        <f>-443.25+80.25</f>
        <v>-363</v>
      </c>
      <c r="S74" s="40">
        <v>1049.08</v>
      </c>
      <c r="T74" s="40">
        <f>1204.93+340.26</f>
        <v>1545.19</v>
      </c>
      <c r="U74" s="40">
        <v>1740.03</v>
      </c>
      <c r="V74" s="40">
        <f>770.4+1106.41</f>
        <v>1876.81</v>
      </c>
      <c r="W74" s="40">
        <f>1312.24+1945.26</f>
        <v>3257.5</v>
      </c>
      <c r="X74" s="40">
        <v>771.55</v>
      </c>
      <c r="Y74" s="40">
        <f>778.96</f>
        <v>778.96</v>
      </c>
      <c r="Z74" s="40">
        <f t="shared" si="41"/>
        <v>-7.4100000000000819</v>
      </c>
      <c r="AA74" s="59">
        <v>13000</v>
      </c>
      <c r="AB74" s="60">
        <v>13500</v>
      </c>
      <c r="AC74" s="40" t="s">
        <v>4</v>
      </c>
      <c r="AD74" s="40">
        <f t="shared" si="34"/>
        <v>12632.349999999999</v>
      </c>
      <c r="AE74" s="40">
        <f>+AI74/12*A108</f>
        <v>18500</v>
      </c>
      <c r="AF74" s="40">
        <f t="shared" si="35"/>
        <v>-5867.6500000000015</v>
      </c>
      <c r="AG74" s="40">
        <f t="shared" si="36"/>
        <v>15318.57</v>
      </c>
      <c r="AH74" s="40" t="s">
        <v>4</v>
      </c>
      <c r="AI74" s="61">
        <v>18500</v>
      </c>
      <c r="AJ74" s="62">
        <f t="shared" si="37"/>
        <v>0.68282972972972966</v>
      </c>
      <c r="AK74" s="62"/>
      <c r="AL74" s="40">
        <f>868.1+1111.73</f>
        <v>1979.83</v>
      </c>
      <c r="AM74" s="40">
        <f>549.23+1187.17</f>
        <v>1736.4</v>
      </c>
      <c r="AN74" s="40">
        <f>1065.53+597.06</f>
        <v>1662.59</v>
      </c>
      <c r="AO74" s="40">
        <f>1266.02</f>
        <v>1266.02</v>
      </c>
      <c r="AP74" s="40">
        <f>2676.72+226.84</f>
        <v>2903.56</v>
      </c>
      <c r="AQ74" s="40">
        <v>853.58</v>
      </c>
      <c r="AR74" s="40">
        <f>789.66+1725.44</f>
        <v>2515.1</v>
      </c>
      <c r="AS74" s="40">
        <v>1066.5999999999999</v>
      </c>
      <c r="AT74" s="40">
        <v>1238.8699999999999</v>
      </c>
      <c r="AU74" s="40">
        <v>1066.5999999999999</v>
      </c>
      <c r="AV74" s="40">
        <v>1068.71</v>
      </c>
      <c r="AW74" s="40">
        <v>278.47000000000003</v>
      </c>
      <c r="AX74" s="40">
        <f>369.84+2606.52</f>
        <v>2976.36</v>
      </c>
      <c r="AY74" s="40">
        <f>940.57+1658.56+200</f>
        <v>2799.13</v>
      </c>
      <c r="AZ74" s="40">
        <v>1082.9000000000001</v>
      </c>
      <c r="BA74" s="40">
        <v>2695.99</v>
      </c>
      <c r="BB74" s="40">
        <v>214.46</v>
      </c>
      <c r="BC74" s="40">
        <v>1535.94</v>
      </c>
      <c r="BD74" s="40">
        <v>0</v>
      </c>
      <c r="BE74" s="40">
        <v>1089.3499999999999</v>
      </c>
      <c r="BF74" s="40">
        <v>1089.3499999999999</v>
      </c>
      <c r="BG74" s="40">
        <v>1266.97</v>
      </c>
      <c r="BH74" s="40">
        <v>1092.04</v>
      </c>
      <c r="BI74" s="47">
        <v>1269.6500000000001</v>
      </c>
      <c r="BJ74" s="40">
        <f>350.14+1500.14</f>
        <v>1850.2800000000002</v>
      </c>
      <c r="BK74" s="40">
        <f>1098.12+1420.43</f>
        <v>2518.5500000000002</v>
      </c>
      <c r="BL74" s="40">
        <v>2532.52</v>
      </c>
      <c r="BM74" s="40">
        <v>1905.65</v>
      </c>
      <c r="BN74" s="48">
        <v>207.82</v>
      </c>
      <c r="BO74" s="40">
        <f>1702.85-100</f>
        <v>1602.85</v>
      </c>
      <c r="BP74" s="40">
        <v>-191.8</v>
      </c>
      <c r="BQ74" s="47">
        <f>1274.12-100</f>
        <v>1174.1199999999999</v>
      </c>
      <c r="BR74" s="40">
        <f>1091.69+2364.55</f>
        <v>3456.2400000000002</v>
      </c>
      <c r="BS74" s="48">
        <f>1094.36-100</f>
        <v>994.3599999999999</v>
      </c>
      <c r="BT74" s="48">
        <f>1571.05-100</f>
        <v>1471.05</v>
      </c>
      <c r="BU74" s="47">
        <f>2532.52-100</f>
        <v>2432.52</v>
      </c>
      <c r="BV74" s="40">
        <f>182.96+2063.54</f>
        <v>2246.5</v>
      </c>
      <c r="BW74" s="40">
        <f>1104.78+1413.16</f>
        <v>2517.94</v>
      </c>
      <c r="BX74" s="40">
        <f>1104.78-70.47</f>
        <v>1034.31</v>
      </c>
      <c r="BY74" s="40">
        <f>1321.03-100</f>
        <v>1221.03</v>
      </c>
      <c r="BZ74" s="40">
        <f>523.77-100</f>
        <v>423.77</v>
      </c>
      <c r="CA74" s="48">
        <f>1593.23-100</f>
        <v>1493.23</v>
      </c>
      <c r="CB74" s="40">
        <f>315.12-100</f>
        <v>215.12</v>
      </c>
      <c r="CC74" s="40">
        <f>1487.47-100</f>
        <v>1387.47</v>
      </c>
      <c r="CD74" s="47">
        <f>1106.38-100</f>
        <v>1006.3800000000001</v>
      </c>
      <c r="CE74" s="40">
        <f>1106.38+1968.31</f>
        <v>3074.69</v>
      </c>
      <c r="CF74" s="48">
        <f>1657.59+1891.41</f>
        <v>3549</v>
      </c>
      <c r="CG74" s="48">
        <f>1382.44-100</f>
        <v>1282.44</v>
      </c>
      <c r="CH74" s="40">
        <f>342.4-100</f>
        <v>242.39999999999998</v>
      </c>
      <c r="CI74" s="40">
        <f>801.43+721.76</f>
        <v>1523.19</v>
      </c>
      <c r="CJ74" s="40">
        <f>1770.14+124.7</f>
        <v>1894.8400000000001</v>
      </c>
      <c r="CK74" s="40">
        <f>1290.42-100</f>
        <v>1190.42</v>
      </c>
      <c r="CL74" s="40">
        <f>356-100</f>
        <v>256</v>
      </c>
      <c r="CM74" s="40">
        <f>1670.27-100</f>
        <v>1570.27</v>
      </c>
      <c r="CN74" s="40">
        <v>-100</v>
      </c>
      <c r="CO74" s="40">
        <f>1385.12-100</f>
        <v>1285.1199999999999</v>
      </c>
      <c r="CP74" s="40">
        <f>2895.52-100</f>
        <v>2795.52</v>
      </c>
      <c r="CQ74" s="40">
        <f>986.54+248.65</f>
        <v>1235.19</v>
      </c>
      <c r="CR74" s="40">
        <f>1553.64-100</f>
        <v>1453.64</v>
      </c>
      <c r="CS74" s="48">
        <f>1303.86+267.55</f>
        <v>1571.4099999999999</v>
      </c>
      <c r="CT74" s="40">
        <f>24.3-228.28</f>
        <v>-203.98</v>
      </c>
      <c r="CU74" s="40">
        <f>1334.03+825.94</f>
        <v>2159.9700000000003</v>
      </c>
      <c r="CV74" s="40">
        <v>2044.88</v>
      </c>
      <c r="CW74" s="40">
        <v>1127.99</v>
      </c>
      <c r="CX74" s="40">
        <v>1467.19</v>
      </c>
      <c r="CY74" s="40">
        <f>2434.07+619.97</f>
        <v>3054.04</v>
      </c>
      <c r="CZ74" s="40">
        <f>523.44+657.2</f>
        <v>1180.6400000000001</v>
      </c>
      <c r="DA74" s="40">
        <f>989.75+530.72</f>
        <v>1520.47</v>
      </c>
      <c r="DB74" s="40">
        <v>1101.57</v>
      </c>
      <c r="DC74" s="40">
        <v>1111.2</v>
      </c>
      <c r="DD74" s="40">
        <v>1136.3399999999999</v>
      </c>
      <c r="DE74" s="40">
        <v>1331.83</v>
      </c>
      <c r="DF74" s="40">
        <f>387.17+521.09</f>
        <v>908.26</v>
      </c>
      <c r="DG74" s="40">
        <v>1273.73</v>
      </c>
      <c r="DH74" s="40">
        <f>1136.77+3551.06</f>
        <v>4687.83</v>
      </c>
      <c r="DI74" s="40">
        <f>325.47+817.69</f>
        <v>1143.1600000000001</v>
      </c>
      <c r="DJ74" s="40">
        <v>1163.4000000000001</v>
      </c>
      <c r="DK74" s="40">
        <v>0</v>
      </c>
      <c r="DL74" s="40">
        <v>1863.19</v>
      </c>
      <c r="DM74" s="40">
        <f>1044.94+3021.7</f>
        <v>4066.64</v>
      </c>
      <c r="DN74" s="40">
        <v>1278.78</v>
      </c>
      <c r="DO74" s="40">
        <v>821.76</v>
      </c>
      <c r="DP74" s="40">
        <v>1664.49</v>
      </c>
      <c r="DQ74" s="40">
        <v>2096.9699999999998</v>
      </c>
      <c r="DR74" s="40">
        <f>1458.89+541.73</f>
        <v>2000.6200000000001</v>
      </c>
      <c r="DS74" s="40">
        <f>544.83+1234.47</f>
        <v>1779.3000000000002</v>
      </c>
      <c r="DT74" s="40">
        <v>2458.77</v>
      </c>
      <c r="DU74" s="40">
        <f>538.23-677.54</f>
        <v>-139.30999999999995</v>
      </c>
      <c r="DV74" s="40">
        <f>1339.32+256.53</f>
        <v>1595.85</v>
      </c>
      <c r="DW74" s="40">
        <v>1298.6099999999999</v>
      </c>
      <c r="DX74" s="40">
        <f>320.24+594.21</f>
        <v>914.45</v>
      </c>
      <c r="DY74" s="40">
        <f>2408.51+1300.61</f>
        <v>3709.12</v>
      </c>
      <c r="DZ74" s="40">
        <v>980.8</v>
      </c>
      <c r="EA74" s="40">
        <v>869.57</v>
      </c>
      <c r="EB74" s="40">
        <f>1023.16+141.78</f>
        <v>1164.94</v>
      </c>
      <c r="EC74" s="40">
        <v>1975.96</v>
      </c>
      <c r="ED74" s="40">
        <v>2305.4699999999998</v>
      </c>
      <c r="EE74" s="40">
        <v>1682.49</v>
      </c>
      <c r="EF74" s="40">
        <v>859.75</v>
      </c>
      <c r="EG74" s="40">
        <v>975.81</v>
      </c>
      <c r="EH74" s="40">
        <v>88.92</v>
      </c>
      <c r="EI74" s="40">
        <v>1413.01</v>
      </c>
      <c r="EJ74" s="40">
        <v>3697.7</v>
      </c>
      <c r="EK74" s="40">
        <v>307</v>
      </c>
      <c r="EL74" s="40">
        <v>3148.11</v>
      </c>
      <c r="EM74" s="40">
        <v>559.74</v>
      </c>
      <c r="EN74" s="40">
        <v>1213.8599999999999</v>
      </c>
      <c r="EO74" s="40">
        <v>1486.72</v>
      </c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</row>
    <row r="75" spans="1:255" x14ac:dyDescent="0.25">
      <c r="A75" s="41" t="s">
        <v>221</v>
      </c>
      <c r="B75" s="40">
        <f>240+750</f>
        <v>990</v>
      </c>
      <c r="C75" s="40">
        <v>351.88</v>
      </c>
      <c r="D75" s="40">
        <f>876.71+414.36+26.35</f>
        <v>1317.42</v>
      </c>
      <c r="E75" s="40">
        <v>1159.72</v>
      </c>
      <c r="F75" s="40">
        <f>418.65</f>
        <v>418.65</v>
      </c>
      <c r="G75" s="40">
        <v>1856.71</v>
      </c>
      <c r="H75" s="40">
        <f>424.17+500</f>
        <v>924.17000000000007</v>
      </c>
      <c r="I75" s="40">
        <v>1456.42</v>
      </c>
      <c r="J75" s="40">
        <v>294.36</v>
      </c>
      <c r="K75" s="40">
        <v>327.48</v>
      </c>
      <c r="L75" s="40">
        <f>2.4+1164.73</f>
        <v>1167.1300000000001</v>
      </c>
      <c r="M75" s="40">
        <f>397.44+750</f>
        <v>1147.44</v>
      </c>
      <c r="N75" s="40">
        <v>414.79</v>
      </c>
      <c r="O75" s="40">
        <v>397.36</v>
      </c>
      <c r="P75" s="40">
        <f>409.36+293.94</f>
        <v>703.3</v>
      </c>
      <c r="Q75" s="40">
        <v>396.11</v>
      </c>
      <c r="R75" s="40">
        <f>1000+407.02</f>
        <v>1407.02</v>
      </c>
      <c r="S75" s="40">
        <f>903.18+381.77</f>
        <v>1284.9499999999998</v>
      </c>
      <c r="T75" s="40">
        <f>1260.96+500</f>
        <v>1760.96</v>
      </c>
      <c r="U75" s="40">
        <f>1061.76</f>
        <v>1061.76</v>
      </c>
      <c r="V75" s="40">
        <f>851.75+290.41</f>
        <v>1142.1600000000001</v>
      </c>
      <c r="W75" s="40">
        <f>1105.28+394.36</f>
        <v>1499.6399999999999</v>
      </c>
      <c r="X75" s="40">
        <f>433.48+1000</f>
        <v>1433.48</v>
      </c>
      <c r="Y75" s="40">
        <f>545.37+150</f>
        <v>695.37</v>
      </c>
      <c r="Z75" s="40">
        <f t="shared" si="41"/>
        <v>738.11</v>
      </c>
      <c r="AA75" s="59">
        <v>10000</v>
      </c>
      <c r="AB75" s="60">
        <v>12000</v>
      </c>
      <c r="AC75" s="40" t="s">
        <v>4</v>
      </c>
      <c r="AD75" s="40">
        <f t="shared" si="34"/>
        <v>11973.439999999999</v>
      </c>
      <c r="AE75" s="40">
        <f>+AI75/12*A108</f>
        <v>11832</v>
      </c>
      <c r="AF75" s="40">
        <f t="shared" si="35"/>
        <v>141.43999999999869</v>
      </c>
      <c r="AG75" s="40">
        <f t="shared" si="36"/>
        <v>11634.84</v>
      </c>
      <c r="AH75" s="40" t="s">
        <v>4</v>
      </c>
      <c r="AI75" s="61">
        <v>11832</v>
      </c>
      <c r="AJ75" s="62">
        <f t="shared" si="37"/>
        <v>1.0119540229885056</v>
      </c>
      <c r="AK75" s="62"/>
      <c r="AL75" s="40">
        <f>1603.98-920.87</f>
        <v>683.11</v>
      </c>
      <c r="AM75" s="40">
        <v>1000.35</v>
      </c>
      <c r="AN75" s="40">
        <v>1053.3</v>
      </c>
      <c r="AO75" s="40">
        <v>324.70999999999998</v>
      </c>
      <c r="AP75" s="40">
        <f>407.37+1000</f>
        <v>1407.37</v>
      </c>
      <c r="AQ75" s="40">
        <v>412.02</v>
      </c>
      <c r="AR75" s="40">
        <f>413.69+522.9</f>
        <v>936.58999999999992</v>
      </c>
      <c r="AS75" s="40">
        <v>1103.98</v>
      </c>
      <c r="AT75" s="40">
        <f>411.03+1500</f>
        <v>1911.03</v>
      </c>
      <c r="AU75" s="40">
        <f>410.53+324.71</f>
        <v>735.24</v>
      </c>
      <c r="AV75" s="40">
        <v>752.77</v>
      </c>
      <c r="AW75" s="40">
        <f>414+1000</f>
        <v>1414</v>
      </c>
      <c r="AX75" s="40">
        <v>0</v>
      </c>
      <c r="AY75" s="40">
        <f>1516.81+324.71</f>
        <v>1841.52</v>
      </c>
      <c r="AZ75" s="40">
        <f>402.19+500</f>
        <v>902.19</v>
      </c>
      <c r="BA75" s="40">
        <f>494.84+324.71</f>
        <v>819.55</v>
      </c>
      <c r="BB75" s="40">
        <v>0</v>
      </c>
      <c r="BC75" s="40">
        <f>399.31+1000</f>
        <v>1399.31</v>
      </c>
      <c r="BD75" s="40">
        <f>402.43+324.71</f>
        <v>727.14</v>
      </c>
      <c r="BE75" s="40">
        <v>5.32</v>
      </c>
      <c r="BF75" s="40">
        <f>808.51+129.72</f>
        <v>938.23</v>
      </c>
      <c r="BG75" s="40">
        <f>629.65+1250</f>
        <v>1879.65</v>
      </c>
      <c r="BH75" s="40">
        <f>520.7+324.71</f>
        <v>845.41000000000008</v>
      </c>
      <c r="BI75" s="47">
        <f>415.67+1000</f>
        <v>1415.67</v>
      </c>
      <c r="BJ75" s="40">
        <v>324.70999999999998</v>
      </c>
      <c r="BK75" s="40">
        <f>1550.2+129.72</f>
        <v>1679.92</v>
      </c>
      <c r="BL75" s="40">
        <v>405.66</v>
      </c>
      <c r="BM75" s="40">
        <f>406.07+324.42</f>
        <v>730.49</v>
      </c>
      <c r="BN75" s="48">
        <v>1000</v>
      </c>
      <c r="BO75" s="40">
        <v>812.45</v>
      </c>
      <c r="BP75" s="40">
        <v>324.42</v>
      </c>
      <c r="BQ75" s="47">
        <v>0</v>
      </c>
      <c r="BR75" s="40">
        <f>1039.75+2250</f>
        <v>3289.75</v>
      </c>
      <c r="BS75" s="48">
        <f>416.97+327.48</f>
        <v>744.45</v>
      </c>
      <c r="BT75" s="48">
        <v>530.12</v>
      </c>
      <c r="BU75" s="47">
        <v>835.92</v>
      </c>
      <c r="BV75" s="40">
        <f>419.22+1327.48</f>
        <v>1746.7</v>
      </c>
      <c r="BW75" s="40">
        <f>2353.55-203.52</f>
        <v>2150.0300000000002</v>
      </c>
      <c r="BX75" s="40">
        <f>5.39+35.46</f>
        <v>40.85</v>
      </c>
      <c r="BY75" s="40">
        <f>849.28+1327.48</f>
        <v>2176.7600000000002</v>
      </c>
      <c r="BZ75" s="40">
        <v>426.06</v>
      </c>
      <c r="CA75" s="48">
        <f>427.55-920.96</f>
        <v>-493.41</v>
      </c>
      <c r="CB75" s="40">
        <f>623.24+327.48</f>
        <v>950.72</v>
      </c>
      <c r="CC75" s="40">
        <v>407.02</v>
      </c>
      <c r="CD75" s="47">
        <v>327.48</v>
      </c>
      <c r="CE75" s="40">
        <f>820.12+2500</f>
        <v>3320.12</v>
      </c>
      <c r="CF75" s="48">
        <v>522.76</v>
      </c>
      <c r="CG75" s="48">
        <v>409.92</v>
      </c>
      <c r="CH75" s="40">
        <f>220+330.41</f>
        <v>550.41000000000008</v>
      </c>
      <c r="CI75" s="40">
        <f>516.13+1166.4</f>
        <v>1682.5300000000002</v>
      </c>
      <c r="CJ75" s="40">
        <f>1276.64+1000</f>
        <v>2276.6400000000003</v>
      </c>
      <c r="CK75" s="40">
        <v>408.19</v>
      </c>
      <c r="CL75" s="40">
        <f>407.5+330.41</f>
        <v>737.91000000000008</v>
      </c>
      <c r="CM75" s="40">
        <v>-724.65</v>
      </c>
      <c r="CN75" s="40">
        <f>7.35+330.41</f>
        <v>337.76000000000005</v>
      </c>
      <c r="CO75" s="40">
        <v>410.23</v>
      </c>
      <c r="CP75" s="40">
        <f>412.72+2000</f>
        <v>2412.7200000000003</v>
      </c>
      <c r="CQ75" s="40">
        <f>413.05+330.41</f>
        <v>743.46</v>
      </c>
      <c r="CR75" s="40">
        <f>527.18+750</f>
        <v>1277.1799999999998</v>
      </c>
      <c r="CS75" s="48">
        <v>416.09</v>
      </c>
      <c r="CT75" s="40">
        <f>384+1080.41</f>
        <v>1464.41</v>
      </c>
      <c r="CU75" s="40">
        <v>1592.8</v>
      </c>
      <c r="CV75" s="40">
        <f>576.12+750</f>
        <v>1326.12</v>
      </c>
      <c r="CW75" s="40">
        <f>805.99+330.41</f>
        <v>1136.4000000000001</v>
      </c>
      <c r="CX75" s="40">
        <v>405.87</v>
      </c>
      <c r="CY75" s="40">
        <f>946.42+45.56</f>
        <v>991.98</v>
      </c>
      <c r="CZ75" s="40">
        <f>983.46-2098.99+31.28</f>
        <v>-1084.2499999999998</v>
      </c>
      <c r="DA75" s="40">
        <v>0</v>
      </c>
      <c r="DB75" s="40">
        <v>484.93</v>
      </c>
      <c r="DC75" s="40">
        <f>412.45+2500</f>
        <v>2912.45</v>
      </c>
      <c r="DD75" s="40">
        <f>969.33+330.41</f>
        <v>1299.74</v>
      </c>
      <c r="DE75" s="40">
        <v>445.25</v>
      </c>
      <c r="DF75" s="40">
        <f>315+1112.51</f>
        <v>1427.51</v>
      </c>
      <c r="DG75" s="40">
        <f>1246.16+12.95</f>
        <v>1259.1100000000001</v>
      </c>
      <c r="DH75" s="40">
        <f>948.5+1500</f>
        <v>2448.5</v>
      </c>
      <c r="DI75" s="40">
        <f>9+362.51</f>
        <v>371.51</v>
      </c>
      <c r="DJ75" s="40">
        <f>397.98+750</f>
        <v>1147.98</v>
      </c>
      <c r="DK75" s="40">
        <v>389.06</v>
      </c>
      <c r="DL75" s="40">
        <f>389.66+362.51</f>
        <v>752.17000000000007</v>
      </c>
      <c r="DM75" s="40">
        <f>514.97+196.42</f>
        <v>711.39</v>
      </c>
      <c r="DN75" s="40">
        <v>384.11</v>
      </c>
      <c r="DO75" s="40">
        <f>383.45+2762.51</f>
        <v>3145.96</v>
      </c>
      <c r="DP75" s="40">
        <v>872.95</v>
      </c>
      <c r="DQ75" s="40">
        <f>750+580.77</f>
        <v>1330.77</v>
      </c>
      <c r="DR75" s="40">
        <v>362.51</v>
      </c>
      <c r="DS75" s="40">
        <f>2144.64+750</f>
        <v>2894.64</v>
      </c>
      <c r="DT75" s="40">
        <v>947.77</v>
      </c>
      <c r="DU75" s="40">
        <f>487.16+1106.92</f>
        <v>1594.0800000000002</v>
      </c>
      <c r="DV75" s="40">
        <v>0</v>
      </c>
      <c r="DW75" s="40">
        <v>499.8</v>
      </c>
      <c r="DX75" s="40">
        <f>1107.17+1119.76</f>
        <v>2226.9300000000003</v>
      </c>
      <c r="DY75" s="40">
        <f>449.25-1204.52</f>
        <v>-755.27</v>
      </c>
      <c r="DZ75" s="40">
        <v>456.65</v>
      </c>
      <c r="EA75" s="40">
        <v>2362.5100000000002</v>
      </c>
      <c r="EB75" s="40">
        <f>1422.84+733.08</f>
        <v>2155.92</v>
      </c>
      <c r="EC75" s="40">
        <f>660.59+196.42+8.21</f>
        <v>865.22</v>
      </c>
      <c r="ED75" s="40">
        <v>1112.01</v>
      </c>
      <c r="EE75" s="40">
        <v>3089.52</v>
      </c>
      <c r="EF75" s="40">
        <v>481.02</v>
      </c>
      <c r="EG75" s="40">
        <v>1112.51</v>
      </c>
      <c r="EH75" s="40">
        <v>966.65</v>
      </c>
      <c r="EI75" s="40">
        <v>493.45</v>
      </c>
      <c r="EJ75" s="40">
        <v>1035.3499999999999</v>
      </c>
      <c r="EK75" s="40">
        <v>481.03</v>
      </c>
      <c r="EL75" s="40">
        <v>3005.72</v>
      </c>
      <c r="EM75" s="40">
        <v>899.72</v>
      </c>
      <c r="EN75" s="40">
        <v>1340.37</v>
      </c>
      <c r="EO75" s="40">
        <f>185+20.66</f>
        <v>205.66</v>
      </c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x14ac:dyDescent="0.25">
      <c r="A76" s="41" t="s">
        <v>222</v>
      </c>
      <c r="B76" s="40">
        <f>379.65+789.29+55.42-191.29</f>
        <v>1033.0700000000002</v>
      </c>
      <c r="C76" s="40">
        <f>362.23+39.83+23.37</f>
        <v>425.43</v>
      </c>
      <c r="D76" s="40">
        <f>403.6+374.71+789.29+66.24</f>
        <v>1633.84</v>
      </c>
      <c r="E76" s="40">
        <f>1020.79+423.13+14.83</f>
        <v>1458.75</v>
      </c>
      <c r="F76" s="40">
        <f>4.91+374.71+789.29+160.39</f>
        <v>1329.2999999999997</v>
      </c>
      <c r="G76" s="40">
        <f>65.44+362.23+14.83+96.93</f>
        <v>539.43000000000006</v>
      </c>
      <c r="H76" s="40">
        <f>37.55+374.71+789.29+32.57+67.94</f>
        <v>1302.06</v>
      </c>
      <c r="I76" s="40">
        <f>930.49+742.99+14.83</f>
        <v>1688.31</v>
      </c>
      <c r="J76" s="40">
        <f>534.39+374.71+789.29</f>
        <v>1698.3899999999999</v>
      </c>
      <c r="K76" s="40">
        <f>-642.48+14.83</f>
        <v>-627.65</v>
      </c>
      <c r="L76" s="40">
        <f>166.85+374.71+18.77+59.21</f>
        <v>619.54</v>
      </c>
      <c r="M76" s="40">
        <f>475.66+724.46+14.83+272.13</f>
        <v>1487.08</v>
      </c>
      <c r="N76" s="40">
        <f>291.92+378.5+1592.35+19.43</f>
        <v>2282.1999999999998</v>
      </c>
      <c r="O76" s="40">
        <f>1608.14+362.23+14.83+74.5</f>
        <v>2059.6999999999998</v>
      </c>
      <c r="P76" s="40">
        <f>329.79+789.29+94.09+67.12</f>
        <v>1280.29</v>
      </c>
      <c r="Q76" s="40">
        <f>406.13+14.83+56.43+637.87</f>
        <v>1115.26</v>
      </c>
      <c r="R76" s="40">
        <f>3813.65+374.71+789.29+101.51</f>
        <v>5079.16</v>
      </c>
      <c r="S76" s="40">
        <f>343.92+724.46+14.83+76.44</f>
        <v>1159.6500000000001</v>
      </c>
      <c r="T76" s="40">
        <f>1224.52+789.29+43.3+82.89</f>
        <v>2140</v>
      </c>
      <c r="U76" s="40">
        <f>1146.85+409.47+48.32+155.88</f>
        <v>1760.52</v>
      </c>
      <c r="V76" s="40">
        <f>792.27+776.9+789.29+34.85+361.41+20.99</f>
        <v>2775.7099999999996</v>
      </c>
      <c r="W76" s="40">
        <f>591.08+761.39+804.12</f>
        <v>2156.59</v>
      </c>
      <c r="X76" s="40">
        <f>43.36+402.12+789.29+31.01+13.77</f>
        <v>1279.55</v>
      </c>
      <c r="Y76" s="40">
        <f>384.8+374.71+14.83+86.65</f>
        <v>860.99</v>
      </c>
      <c r="Z76" s="40">
        <f t="shared" si="41"/>
        <v>418.55999999999995</v>
      </c>
      <c r="AA76" s="59">
        <v>15000</v>
      </c>
      <c r="AB76" s="112">
        <v>16000</v>
      </c>
      <c r="AC76" s="40" t="s">
        <v>4</v>
      </c>
      <c r="AD76" s="40">
        <f t="shared" si="34"/>
        <v>22453.109999999997</v>
      </c>
      <c r="AE76" s="40">
        <f>+AI76/12*A108</f>
        <v>8500</v>
      </c>
      <c r="AF76" s="40">
        <f t="shared" si="35"/>
        <v>13953.109999999997</v>
      </c>
      <c r="AG76" s="40">
        <f t="shared" si="36"/>
        <v>14084.060000000001</v>
      </c>
      <c r="AH76" s="40" t="s">
        <v>4</v>
      </c>
      <c r="AI76" s="61">
        <v>8500</v>
      </c>
      <c r="AJ76" s="62">
        <f t="shared" si="37"/>
        <v>2.6415423529411761</v>
      </c>
      <c r="AK76" s="62"/>
      <c r="AL76" s="40">
        <v>2658.73</v>
      </c>
      <c r="AM76" s="40">
        <f>576.84+14.83+61.41</f>
        <v>653.08000000000004</v>
      </c>
      <c r="AN76" s="40">
        <f>468.36+14.83+39.63+153.26</f>
        <v>676.08</v>
      </c>
      <c r="AO76" s="40">
        <f>72.63+14.83+117.34+221.36</f>
        <v>426.16</v>
      </c>
      <c r="AP76" s="40">
        <f>8.02+14.83+43.91</f>
        <v>66.759999999999991</v>
      </c>
      <c r="AQ76" s="40">
        <f>89.81+14.83+47.81</f>
        <v>152.44999999999999</v>
      </c>
      <c r="AR76" s="40">
        <f>258.53+14.83+39.99+100.29</f>
        <v>413.64</v>
      </c>
      <c r="AS76" s="40">
        <f>65.64+14.83+114.18+57.89</f>
        <v>252.54000000000002</v>
      </c>
      <c r="AT76" s="40">
        <f>402.01+14.83+79.3+539.99</f>
        <v>1036.1300000000001</v>
      </c>
      <c r="AU76" s="40">
        <f>400.44+14.83+33.12</f>
        <v>448.39</v>
      </c>
      <c r="AV76" s="40">
        <f>232.14+159.55+83.05-250</f>
        <v>224.74</v>
      </c>
      <c r="AW76" s="40">
        <f>183.06+14.83+71.53</f>
        <v>269.42</v>
      </c>
      <c r="AX76" s="40">
        <f>416.78+147.07+37.86+145.89</f>
        <v>747.59999999999991</v>
      </c>
      <c r="AY76" s="40">
        <f>389.78+147.07</f>
        <v>536.84999999999991</v>
      </c>
      <c r="AZ76" s="40">
        <f>255.94+147.07+106.93+19.21</f>
        <v>529.15</v>
      </c>
      <c r="BA76" s="40">
        <f>351.98+147.07+72.57</f>
        <v>571.62</v>
      </c>
      <c r="BB76" s="40">
        <f>622.25+147.07+89.78</f>
        <v>859.09999999999991</v>
      </c>
      <c r="BC76" s="40">
        <f>165.45+379.07+49.13</f>
        <v>593.65</v>
      </c>
      <c r="BD76" s="40">
        <f>481.91+110.27+698.5</f>
        <v>1290.68</v>
      </c>
      <c r="BE76" s="40">
        <f>67.94+147.07-6.41+87.51</f>
        <v>296.11</v>
      </c>
      <c r="BF76" s="40">
        <f>410.48+147.07+5.32</f>
        <v>562.87</v>
      </c>
      <c r="BG76" s="40">
        <f>120.86+147.07+440.38</f>
        <v>708.31</v>
      </c>
      <c r="BH76" s="40">
        <f>342.85+132.87+147.07</f>
        <v>622.79</v>
      </c>
      <c r="BI76" s="47">
        <f>410.59+25.65+147.07</f>
        <v>583.30999999999995</v>
      </c>
      <c r="BJ76" s="40">
        <f>203.3+72.66+94.99</f>
        <v>370.95000000000005</v>
      </c>
      <c r="BK76" s="40">
        <f>467.22+67.86+65.95</f>
        <v>601.03000000000009</v>
      </c>
      <c r="BL76" s="40">
        <f>294.19+91.97+561.8</f>
        <v>947.95999999999992</v>
      </c>
      <c r="BM76" s="40">
        <f>100.48+77.18</f>
        <v>177.66000000000003</v>
      </c>
      <c r="BN76" s="48">
        <f>713.14+240.54</f>
        <v>953.68</v>
      </c>
      <c r="BO76" s="40">
        <f>70.93+10.69+144.3</f>
        <v>225.92000000000002</v>
      </c>
      <c r="BP76" s="40">
        <v>466.78</v>
      </c>
      <c r="BQ76" s="47">
        <f>1022.2+132.06</f>
        <v>1154.26</v>
      </c>
      <c r="BR76" s="40">
        <f>-535.74+41.34+21.89</f>
        <v>-472.51</v>
      </c>
      <c r="BS76" s="48">
        <f>123.79+47.98+151.14+4.75</f>
        <v>327.65999999999997</v>
      </c>
      <c r="BT76" s="48">
        <f>-100+423.75+64.57</f>
        <v>388.32</v>
      </c>
      <c r="BU76" s="47">
        <f>409.19+47+20</f>
        <v>476.19</v>
      </c>
      <c r="BV76" s="40">
        <f>652.11+52+43.92+141.54</f>
        <v>889.56999999999994</v>
      </c>
      <c r="BW76" s="40">
        <f>50.94-93.59</f>
        <v>-42.650000000000006</v>
      </c>
      <c r="BX76" s="40">
        <f>270.36+79.94</f>
        <v>350.3</v>
      </c>
      <c r="BY76" s="40">
        <f>493.29+33.97+18.4</f>
        <v>545.66</v>
      </c>
      <c r="BZ76" s="40">
        <f>98.66+125.07+125.99</f>
        <v>349.71999999999997</v>
      </c>
      <c r="CA76" s="48">
        <f>600.29+21.39+97.23</f>
        <v>718.91</v>
      </c>
      <c r="CB76" s="40">
        <f>19.32+61.41</f>
        <v>80.72999999999999</v>
      </c>
      <c r="CC76" s="40">
        <f>176.93+58.15</f>
        <v>235.08</v>
      </c>
      <c r="CD76" s="47">
        <f>180.47+99.68</f>
        <v>280.14999999999998</v>
      </c>
      <c r="CE76" s="40">
        <f>224.62+147.14+330.27</f>
        <v>702.03</v>
      </c>
      <c r="CF76" s="48">
        <f>298.56+60.39+119.57</f>
        <v>478.52</v>
      </c>
      <c r="CG76" s="48">
        <f>348.82+106.37+3.73</f>
        <v>458.92</v>
      </c>
      <c r="CH76" s="40">
        <f>471.51+14.17</f>
        <v>485.68</v>
      </c>
      <c r="CI76" s="40">
        <f>234.99+128.24+126.53</f>
        <v>489.76</v>
      </c>
      <c r="CJ76" s="40">
        <f>888.74+91.6</f>
        <v>980.34</v>
      </c>
      <c r="CK76" s="40">
        <f>306.6+29.28+200</f>
        <v>535.88</v>
      </c>
      <c r="CL76" s="40">
        <f>313.27+64.71</f>
        <v>377.97999999999996</v>
      </c>
      <c r="CM76" s="40">
        <f>349.11-100+120.12+22.62</f>
        <v>391.85</v>
      </c>
      <c r="CN76" s="40">
        <f>-9.4+39.95+123.58+123.83</f>
        <v>277.95999999999998</v>
      </c>
      <c r="CO76" s="40">
        <v>466.84</v>
      </c>
      <c r="CP76" s="40">
        <f>125.96+94-117</f>
        <v>102.95999999999998</v>
      </c>
      <c r="CQ76" s="40">
        <f>1179.39+26.74+55.21</f>
        <v>1261.3400000000001</v>
      </c>
      <c r="CR76" s="40">
        <f>126.77+112.7+28.57</f>
        <v>268.04000000000002</v>
      </c>
      <c r="CS76" s="40">
        <f>22.56-53.06</f>
        <v>-30.500000000000004</v>
      </c>
      <c r="CT76" s="40">
        <f>169.43+77.59</f>
        <v>247.02</v>
      </c>
      <c r="CU76" s="40">
        <f>189.69+144.61+117</f>
        <v>451.3</v>
      </c>
      <c r="CV76" s="40">
        <f>325.04+67.44+518.11</f>
        <v>910.59</v>
      </c>
      <c r="CW76" s="40">
        <f>351.41+17.1</f>
        <v>368.51000000000005</v>
      </c>
      <c r="CX76" s="40">
        <f>750.62+102.01</f>
        <v>852.63</v>
      </c>
      <c r="CY76" s="40">
        <f>257.23+100.91+71.5</f>
        <v>429.64</v>
      </c>
      <c r="CZ76" s="40">
        <f>98.19+30.82</f>
        <v>129.01</v>
      </c>
      <c r="DA76" s="40">
        <f>481.5+136.37+130.01</f>
        <v>747.88</v>
      </c>
      <c r="DB76" s="40">
        <f>539.99+69.04+75.13</f>
        <v>684.16</v>
      </c>
      <c r="DC76" s="40">
        <f>431.87+275.53+544.44</f>
        <v>1251.8400000000001</v>
      </c>
      <c r="DD76" s="40">
        <f>72.08+171.02+30.19</f>
        <v>273.29000000000002</v>
      </c>
      <c r="DE76" s="40">
        <v>19.850000000000001</v>
      </c>
      <c r="DF76" s="40">
        <f>578.25+275.53+118.23+91.76</f>
        <v>1063.77</v>
      </c>
      <c r="DG76" s="40">
        <f>355.35+454.6</f>
        <v>809.95</v>
      </c>
      <c r="DH76" s="40">
        <f>261.68+275.53+39.98+22.14</f>
        <v>599.33000000000004</v>
      </c>
      <c r="DI76" s="40">
        <f>114.14+275.53+150.35</f>
        <v>540.02</v>
      </c>
      <c r="DJ76" s="40">
        <f>294.92+382.45</f>
        <v>677.37</v>
      </c>
      <c r="DK76" s="40">
        <f>52.49+278</f>
        <v>330.49</v>
      </c>
      <c r="DL76" s="40">
        <f>190.52+275.53+82.11</f>
        <v>548.16</v>
      </c>
      <c r="DM76" s="40">
        <f>295.06+419.4+82.49</f>
        <v>796.95</v>
      </c>
      <c r="DN76" s="40">
        <f>146.01+275.53</f>
        <v>421.53999999999996</v>
      </c>
      <c r="DO76" s="40">
        <f>846.48+275.53+96.39</f>
        <v>1218.4000000000001</v>
      </c>
      <c r="DP76" s="40">
        <f>797.41+458.01+32.74+20.17</f>
        <v>1308.3300000000002</v>
      </c>
      <c r="DQ76" s="40">
        <f>38.96+275.53</f>
        <v>314.48999999999995</v>
      </c>
      <c r="DR76" s="40">
        <f>1554.5+821.54</f>
        <v>2376.04</v>
      </c>
      <c r="DS76" s="40">
        <f>258.51+23.94+11.2</f>
        <v>293.64999999999998</v>
      </c>
      <c r="DT76" s="40">
        <f>123.69+275.53+156.69+481.54</f>
        <v>1037.45</v>
      </c>
      <c r="DU76" s="40">
        <f>526.9+275.53+48.74+53.94+38.61</f>
        <v>943.71999999999991</v>
      </c>
      <c r="DV76" s="40">
        <f>153.65+345.59+149.85+191.08</f>
        <v>840.17000000000007</v>
      </c>
      <c r="DW76" s="40">
        <f>125.41+275.53+5.34</f>
        <v>406.27999999999992</v>
      </c>
      <c r="DX76" s="40">
        <f>101.33+198.83+4.28</f>
        <v>304.44</v>
      </c>
      <c r="DY76" s="40">
        <f>1033.57+423.14+257.81</f>
        <v>1714.52</v>
      </c>
      <c r="DZ76" s="40">
        <f>202.23+250.76+275.53+30+539.55</f>
        <v>1298.07</v>
      </c>
      <c r="EA76" s="40">
        <f>170.5+275.53+19.26+74.59</f>
        <v>539.88</v>
      </c>
      <c r="EB76" s="40">
        <f>229.17+384.19+203.98+11.1</f>
        <v>828.44</v>
      </c>
      <c r="EC76" s="40">
        <f>949.77+275.53+32</f>
        <v>1257.3</v>
      </c>
      <c r="ED76" s="40">
        <v>935.7</v>
      </c>
      <c r="EE76" s="40">
        <v>793.99</v>
      </c>
      <c r="EF76" s="40">
        <v>644.04</v>
      </c>
      <c r="EG76" s="40">
        <v>847.78</v>
      </c>
      <c r="EH76" s="40">
        <v>393.4</v>
      </c>
      <c r="EI76" s="40">
        <v>935.5</v>
      </c>
      <c r="EJ76" s="40">
        <v>1424.91</v>
      </c>
      <c r="EK76" s="40">
        <v>554.64</v>
      </c>
      <c r="EL76" s="40">
        <v>859.69</v>
      </c>
      <c r="EM76" s="40">
        <v>1085.21</v>
      </c>
      <c r="EN76" s="40">
        <v>1142.96</v>
      </c>
      <c r="EO76" s="40">
        <f>128.04+275.53</f>
        <v>403.56999999999994</v>
      </c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x14ac:dyDescent="0.25">
      <c r="A77" s="41" t="s">
        <v>223</v>
      </c>
      <c r="B77" s="40">
        <v>0</v>
      </c>
      <c r="C77" s="40">
        <v>0</v>
      </c>
      <c r="D77" s="40">
        <v>356.16</v>
      </c>
      <c r="E77" s="40">
        <v>319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199</v>
      </c>
      <c r="T77" s="40">
        <v>73.77</v>
      </c>
      <c r="U77" s="40">
        <v>0</v>
      </c>
      <c r="V77" s="40">
        <v>0</v>
      </c>
      <c r="W77" s="40">
        <v>10</v>
      </c>
      <c r="X77" s="40">
        <v>112.16</v>
      </c>
      <c r="Y77" s="40">
        <v>180</v>
      </c>
      <c r="Z77" s="40">
        <f t="shared" si="41"/>
        <v>-67.84</v>
      </c>
      <c r="AA77" s="59">
        <v>600</v>
      </c>
      <c r="AB77" s="60">
        <v>600</v>
      </c>
      <c r="AC77" s="40" t="s">
        <v>4</v>
      </c>
      <c r="AD77" s="40">
        <f t="shared" si="34"/>
        <v>542.09</v>
      </c>
      <c r="AE77" s="40">
        <f>+AI77/12*A108</f>
        <v>600</v>
      </c>
      <c r="AF77" s="40">
        <f t="shared" si="35"/>
        <v>-57.909999999999968</v>
      </c>
      <c r="AG77" s="40">
        <f t="shared" si="36"/>
        <v>708</v>
      </c>
      <c r="AH77" s="40" t="s">
        <v>4</v>
      </c>
      <c r="AI77" s="61">
        <v>600</v>
      </c>
      <c r="AJ77" s="62">
        <f t="shared" si="37"/>
        <v>0.90348333333333342</v>
      </c>
      <c r="AK77" s="62"/>
      <c r="AL77" s="40">
        <v>0</v>
      </c>
      <c r="AM77" s="40">
        <v>0</v>
      </c>
      <c r="AN77" s="40">
        <v>0</v>
      </c>
      <c r="AO77" s="40">
        <v>0</v>
      </c>
      <c r="AP77" s="40">
        <v>179.95</v>
      </c>
      <c r="AQ77" s="40">
        <v>0</v>
      </c>
      <c r="AR77" s="40">
        <v>17.059999999999999</v>
      </c>
      <c r="AS77" s="40">
        <v>0</v>
      </c>
      <c r="AT77" s="40">
        <v>0</v>
      </c>
      <c r="AU77" s="40">
        <v>15</v>
      </c>
      <c r="AV77" s="40">
        <v>319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179.95</v>
      </c>
      <c r="BC77" s="40">
        <v>74.209999999999994</v>
      </c>
      <c r="BD77" s="40">
        <v>0</v>
      </c>
      <c r="BE77" s="40">
        <v>19.46</v>
      </c>
      <c r="BF77" s="40">
        <v>0</v>
      </c>
      <c r="BG77" s="40">
        <v>33.880000000000003</v>
      </c>
      <c r="BH77" s="40">
        <f>319+20.98</f>
        <v>339.98</v>
      </c>
      <c r="BI77" s="47">
        <v>0</v>
      </c>
      <c r="BJ77" s="40">
        <v>0</v>
      </c>
      <c r="BK77" s="40">
        <v>0</v>
      </c>
      <c r="BL77" s="40">
        <v>0</v>
      </c>
      <c r="BM77" s="40">
        <v>0</v>
      </c>
      <c r="BN77" s="48">
        <v>179.95</v>
      </c>
      <c r="BO77" s="40">
        <v>0</v>
      </c>
      <c r="BP77" s="40">
        <v>0</v>
      </c>
      <c r="BQ77" s="47">
        <v>0</v>
      </c>
      <c r="BR77" s="40">
        <v>0</v>
      </c>
      <c r="BS77" s="48">
        <v>22</v>
      </c>
      <c r="BT77" s="48">
        <v>319</v>
      </c>
      <c r="BU77" s="47">
        <v>0</v>
      </c>
      <c r="BV77" s="40">
        <v>0</v>
      </c>
      <c r="BW77" s="40">
        <v>0</v>
      </c>
      <c r="BX77" s="40">
        <v>0</v>
      </c>
      <c r="BY77" s="40">
        <v>0</v>
      </c>
      <c r="BZ77" s="40">
        <v>179.95</v>
      </c>
      <c r="CA77" s="48">
        <v>0</v>
      </c>
      <c r="CB77" s="40">
        <v>0</v>
      </c>
      <c r="CC77" s="40">
        <v>0</v>
      </c>
      <c r="CD77" s="47">
        <v>0</v>
      </c>
      <c r="CE77" s="40">
        <v>0</v>
      </c>
      <c r="CF77" s="48">
        <v>319</v>
      </c>
      <c r="CG77" s="48">
        <v>59.95</v>
      </c>
      <c r="CH77" s="40">
        <v>0</v>
      </c>
      <c r="CI77" s="40">
        <v>0</v>
      </c>
      <c r="CJ77" s="40">
        <v>0</v>
      </c>
      <c r="CK77" s="40">
        <v>0</v>
      </c>
      <c r="CL77" s="40">
        <v>149.94999999999999</v>
      </c>
      <c r="CM77" s="40">
        <v>0</v>
      </c>
      <c r="CN77" s="40">
        <v>0</v>
      </c>
      <c r="CO77" s="40">
        <v>0</v>
      </c>
      <c r="CP77" s="40">
        <v>0</v>
      </c>
      <c r="CQ77" s="40">
        <v>0</v>
      </c>
      <c r="CR77" s="40">
        <v>378.95</v>
      </c>
      <c r="CS77" s="48">
        <v>0</v>
      </c>
      <c r="CT77" s="40">
        <v>0</v>
      </c>
      <c r="CU77" s="40">
        <v>0</v>
      </c>
      <c r="CV77" s="40">
        <v>0</v>
      </c>
      <c r="CW77" s="40">
        <v>0</v>
      </c>
      <c r="CX77" s="40">
        <v>0</v>
      </c>
      <c r="CY77" s="40">
        <v>0</v>
      </c>
      <c r="CZ77" s="40">
        <v>135</v>
      </c>
      <c r="DA77" s="40">
        <v>0</v>
      </c>
      <c r="DB77" s="40">
        <v>0</v>
      </c>
      <c r="DC77" s="40">
        <v>0</v>
      </c>
      <c r="DD77" s="40">
        <v>319</v>
      </c>
      <c r="DE77" s="40">
        <v>49.95</v>
      </c>
      <c r="DF77" s="40">
        <v>75.94</v>
      </c>
      <c r="DG77" s="40">
        <v>0</v>
      </c>
      <c r="DH77" s="40">
        <v>0</v>
      </c>
      <c r="DI77" s="40">
        <v>0</v>
      </c>
      <c r="DJ77" s="40">
        <v>0</v>
      </c>
      <c r="DK77" s="40">
        <v>0</v>
      </c>
      <c r="DL77" s="40">
        <v>0</v>
      </c>
      <c r="DM77" s="40">
        <v>0</v>
      </c>
      <c r="DN77" s="40">
        <v>0</v>
      </c>
      <c r="DO77" s="40">
        <v>0</v>
      </c>
      <c r="DP77" s="40">
        <v>49.95</v>
      </c>
      <c r="DQ77" s="40">
        <v>0</v>
      </c>
      <c r="DR77" s="40">
        <v>-319</v>
      </c>
      <c r="DS77" s="40">
        <v>0</v>
      </c>
      <c r="DT77" s="40">
        <v>0</v>
      </c>
      <c r="DU77" s="40">
        <v>135</v>
      </c>
      <c r="DV77" s="40">
        <v>27.8</v>
      </c>
      <c r="DW77" s="40">
        <v>0</v>
      </c>
      <c r="DX77" s="40">
        <f>135+11.52</f>
        <v>146.52000000000001</v>
      </c>
      <c r="DY77" s="40">
        <v>0</v>
      </c>
      <c r="DZ77" s="40">
        <v>0</v>
      </c>
      <c r="EA77" s="40">
        <v>68.680000000000007</v>
      </c>
      <c r="EB77" s="40">
        <v>319</v>
      </c>
      <c r="EC77" s="40">
        <v>49.95</v>
      </c>
      <c r="ED77" s="40">
        <v>0</v>
      </c>
      <c r="EE77" s="40">
        <v>0</v>
      </c>
      <c r="EF77" s="40">
        <v>0</v>
      </c>
      <c r="EG77" s="40">
        <v>0</v>
      </c>
      <c r="EH77" s="40">
        <v>15</v>
      </c>
      <c r="EI77" s="40">
        <v>0</v>
      </c>
      <c r="EJ77" s="40">
        <v>0</v>
      </c>
      <c r="EK77" s="40">
        <v>125</v>
      </c>
      <c r="EL77" s="40">
        <v>119.9</v>
      </c>
      <c r="EM77" s="40">
        <v>0</v>
      </c>
      <c r="EN77" s="40">
        <v>0</v>
      </c>
      <c r="EO77" s="40">
        <v>49.95</v>
      </c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x14ac:dyDescent="0.25">
      <c r="A78" s="41" t="s">
        <v>224</v>
      </c>
      <c r="B78" s="40">
        <f>838.7+23.1</f>
        <v>861.80000000000007</v>
      </c>
      <c r="C78" s="40">
        <f>599.63+22.88</f>
        <v>622.51</v>
      </c>
      <c r="D78" s="40">
        <f>654.31+23.1</f>
        <v>677.41</v>
      </c>
      <c r="E78" s="40">
        <f>472.2+22.88</f>
        <v>495.08</v>
      </c>
      <c r="F78" s="40">
        <f>695+23.1</f>
        <v>718.1</v>
      </c>
      <c r="G78" s="40">
        <f>533.88+22.88</f>
        <v>556.76</v>
      </c>
      <c r="H78" s="40">
        <f>784.49+23.1</f>
        <v>807.59</v>
      </c>
      <c r="I78" s="40">
        <f>708.77+22.88</f>
        <v>731.65</v>
      </c>
      <c r="J78" s="40">
        <f>664.61+23.1</f>
        <v>687.71</v>
      </c>
      <c r="K78" s="40">
        <f>617.38+22.88</f>
        <v>640.26</v>
      </c>
      <c r="L78" s="40">
        <v>0</v>
      </c>
      <c r="M78" s="40">
        <f>1319.8+22.88</f>
        <v>1342.68</v>
      </c>
      <c r="N78" s="40">
        <f>1378.96+46.2</f>
        <v>1425.16</v>
      </c>
      <c r="O78" s="40">
        <f>553.914+22.88</f>
        <v>576.79399999999998</v>
      </c>
      <c r="P78" s="40">
        <f>657.2+23.1</f>
        <v>680.30000000000007</v>
      </c>
      <c r="Q78" s="40">
        <f>564.13+22.88</f>
        <v>587.01</v>
      </c>
      <c r="R78" s="40">
        <f>711.97+23.1</f>
        <v>735.07</v>
      </c>
      <c r="S78" s="40">
        <f>560.5+22.88</f>
        <v>583.38</v>
      </c>
      <c r="T78" s="40">
        <f>23.71+777.23</f>
        <v>800.94</v>
      </c>
      <c r="U78" s="40">
        <f>662.63+22.88</f>
        <v>685.51</v>
      </c>
      <c r="V78" s="40">
        <v>1031.68</v>
      </c>
      <c r="W78" s="40">
        <f>721.44+23.5</f>
        <v>744.94</v>
      </c>
      <c r="X78" s="40">
        <f>625.84+24.63</f>
        <v>650.47</v>
      </c>
      <c r="Y78" s="40">
        <f>752.01+28</f>
        <v>780.01</v>
      </c>
      <c r="Z78" s="40">
        <f t="shared" si="41"/>
        <v>-129.53999999999996</v>
      </c>
      <c r="AA78" s="59">
        <v>8500</v>
      </c>
      <c r="AB78" s="60">
        <v>9000</v>
      </c>
      <c r="AC78" s="40" t="s">
        <v>4</v>
      </c>
      <c r="AD78" s="40">
        <f t="shared" si="34"/>
        <v>9076.23</v>
      </c>
      <c r="AE78" s="40">
        <f>+AI78/12*A108</f>
        <v>8000</v>
      </c>
      <c r="AF78" s="40">
        <f t="shared" si="35"/>
        <v>1076.2299999999996</v>
      </c>
      <c r="AG78" s="40">
        <f t="shared" si="36"/>
        <v>8346.5840000000007</v>
      </c>
      <c r="AH78" s="40" t="s">
        <v>4</v>
      </c>
      <c r="AI78" s="61">
        <v>8000</v>
      </c>
      <c r="AJ78" s="62">
        <f t="shared" si="37"/>
        <v>1.1345287499999999</v>
      </c>
      <c r="AK78" s="62"/>
      <c r="AL78" s="40">
        <f>636.94+22.88</f>
        <v>659.82</v>
      </c>
      <c r="AM78" s="40">
        <f>532.36+22.88</f>
        <v>555.24</v>
      </c>
      <c r="AN78" s="40">
        <f>579.05+22.74</f>
        <v>601.79</v>
      </c>
      <c r="AO78" s="40">
        <f>520.86+23.12</f>
        <v>543.98</v>
      </c>
      <c r="AP78" s="40">
        <f>484.38+22.74</f>
        <v>507.12</v>
      </c>
      <c r="AQ78" s="40">
        <f>515.02+22.74</f>
        <v>537.76</v>
      </c>
      <c r="AR78" s="40">
        <f>733.46+22.74</f>
        <v>756.2</v>
      </c>
      <c r="AS78" s="40">
        <f>597.71+22.74</f>
        <v>620.45000000000005</v>
      </c>
      <c r="AT78" s="40">
        <f>695.11+22.74</f>
        <v>717.85</v>
      </c>
      <c r="AU78" s="40">
        <f>607.31+22.74</f>
        <v>630.04999999999995</v>
      </c>
      <c r="AV78" s="40">
        <f>559.02+22.74</f>
        <v>581.76</v>
      </c>
      <c r="AW78" s="40">
        <f>618.77+22.74</f>
        <v>641.51</v>
      </c>
      <c r="AX78" s="40">
        <f>628.58+22.35</f>
        <v>650.93000000000006</v>
      </c>
      <c r="AY78" s="40">
        <f>604.36+22.28</f>
        <v>626.64</v>
      </c>
      <c r="AZ78" s="40">
        <f>595.29+22.28</f>
        <v>617.56999999999994</v>
      </c>
      <c r="BA78" s="40">
        <f>618.86+22.28</f>
        <v>641.14</v>
      </c>
      <c r="BB78" s="40">
        <f>556.14+22.28</f>
        <v>578.41999999999996</v>
      </c>
      <c r="BC78" s="40">
        <f>536.96+22.28</f>
        <v>559.24</v>
      </c>
      <c r="BD78" s="40">
        <f>683.84+22.28</f>
        <v>706.12</v>
      </c>
      <c r="BE78" s="40">
        <f>616.07+26.03</f>
        <v>642.1</v>
      </c>
      <c r="BF78" s="40">
        <f>652.94+22.28</f>
        <v>675.22</v>
      </c>
      <c r="BG78" s="40">
        <f>719.05+22.28</f>
        <v>741.32999999999993</v>
      </c>
      <c r="BH78" s="40">
        <f>660.06+29.78</f>
        <v>689.83999999999992</v>
      </c>
      <c r="BI78" s="47">
        <f>769.12+22.28</f>
        <v>791.4</v>
      </c>
      <c r="BJ78" s="40">
        <f>730.38+21.28</f>
        <v>751.66</v>
      </c>
      <c r="BK78" s="40">
        <f>669.64+10.78</f>
        <v>680.42</v>
      </c>
      <c r="BL78" s="40">
        <f>718.52+20.78</f>
        <v>739.3</v>
      </c>
      <c r="BM78" s="40">
        <f>733.31+20.4</f>
        <v>753.70999999999992</v>
      </c>
      <c r="BN78" s="48">
        <f>723.95+20.4</f>
        <v>744.35</v>
      </c>
      <c r="BO78" s="40">
        <f>641.9+20.4</f>
        <v>662.3</v>
      </c>
      <c r="BP78" s="40">
        <f>874.63+20.4</f>
        <v>895.03</v>
      </c>
      <c r="BQ78" s="47">
        <f>804.96+20.4</f>
        <v>825.36</v>
      </c>
      <c r="BR78" s="40">
        <f>834.9-35.9</f>
        <v>799</v>
      </c>
      <c r="BS78" s="48">
        <f>759.29+20.4</f>
        <v>779.68999999999994</v>
      </c>
      <c r="BT78" s="48">
        <f>678.96+20.4</f>
        <v>699.36</v>
      </c>
      <c r="BU78" s="47">
        <f>772.92+20.4</f>
        <v>793.31999999999994</v>
      </c>
      <c r="BV78" s="40">
        <f>221.78+461.43+20.4</f>
        <v>703.61</v>
      </c>
      <c r="BW78" s="40">
        <f>579.48+20.4</f>
        <v>599.88</v>
      </c>
      <c r="BX78" s="40">
        <f>633.77+20.4</f>
        <v>654.16999999999996</v>
      </c>
      <c r="BY78" s="40">
        <f>652.93+20.4</f>
        <v>673.32999999999993</v>
      </c>
      <c r="BZ78" s="40">
        <f>584.15+20.9</f>
        <v>605.04999999999995</v>
      </c>
      <c r="CA78" s="48">
        <f>620.02+20.4</f>
        <v>640.41999999999996</v>
      </c>
      <c r="CB78" s="40">
        <f>706.39+21.5</f>
        <v>727.89</v>
      </c>
      <c r="CC78" s="40">
        <f>613.03+20</f>
        <v>633.03</v>
      </c>
      <c r="CD78" s="47">
        <f>753.88+20.5</f>
        <v>774.38</v>
      </c>
      <c r="CE78" s="40">
        <f>627.55+20</f>
        <v>647.54999999999995</v>
      </c>
      <c r="CF78" s="48">
        <f>588.9+20</f>
        <v>608.9</v>
      </c>
      <c r="CG78" s="48">
        <f>653.42+20</f>
        <v>673.42</v>
      </c>
      <c r="CH78" s="40">
        <f>564.39+2.9</f>
        <v>567.29</v>
      </c>
      <c r="CI78" s="40">
        <v>458.2</v>
      </c>
      <c r="CJ78" s="40">
        <f>508.22+0.08</f>
        <v>508.3</v>
      </c>
      <c r="CK78" s="40">
        <f>512.14+1.84</f>
        <v>513.98</v>
      </c>
      <c r="CL78" s="40">
        <v>531.28</v>
      </c>
      <c r="CM78" s="40">
        <v>506.97</v>
      </c>
      <c r="CN78" s="40">
        <v>579.87</v>
      </c>
      <c r="CO78" s="40">
        <v>497.3</v>
      </c>
      <c r="CP78" s="40">
        <v>503.62</v>
      </c>
      <c r="CQ78" s="40">
        <v>541.47</v>
      </c>
      <c r="CR78" s="40">
        <v>469.84</v>
      </c>
      <c r="CS78" s="48">
        <v>570.79999999999995</v>
      </c>
      <c r="CT78" s="40">
        <f>149.11+328.29</f>
        <v>477.40000000000003</v>
      </c>
      <c r="CU78" s="40">
        <v>448.11</v>
      </c>
      <c r="CV78" s="40">
        <v>491.1</v>
      </c>
      <c r="CW78" s="40">
        <v>430.18</v>
      </c>
      <c r="CX78" s="40">
        <v>447.37</v>
      </c>
      <c r="CY78" s="40">
        <v>433.14</v>
      </c>
      <c r="CZ78" s="40">
        <v>490.86</v>
      </c>
      <c r="DA78" s="40">
        <v>456.38</v>
      </c>
      <c r="DB78" s="40">
        <v>480.57</v>
      </c>
      <c r="DC78" s="40">
        <v>482.57</v>
      </c>
      <c r="DD78" s="40">
        <v>446.31</v>
      </c>
      <c r="DE78" s="40">
        <v>492.64</v>
      </c>
      <c r="DF78" s="40">
        <f>192.72+402.53</f>
        <v>595.25</v>
      </c>
      <c r="DG78" s="40">
        <v>492.16</v>
      </c>
      <c r="DH78" s="40">
        <v>519.54999999999995</v>
      </c>
      <c r="DI78" s="40">
        <v>357.95</v>
      </c>
      <c r="DJ78" s="40">
        <v>348.42</v>
      </c>
      <c r="DK78" s="40">
        <v>326.69</v>
      </c>
      <c r="DL78" s="40">
        <v>411.22</v>
      </c>
      <c r="DM78" s="40">
        <v>351.95</v>
      </c>
      <c r="DN78" s="40">
        <v>273.26</v>
      </c>
      <c r="DO78" s="40">
        <v>359.54</v>
      </c>
      <c r="DP78" s="40">
        <v>316.66000000000003</v>
      </c>
      <c r="DQ78" s="40">
        <v>339.87</v>
      </c>
      <c r="DR78" s="40">
        <f>65.41+273.93</f>
        <v>339.34000000000003</v>
      </c>
      <c r="DS78" s="40">
        <v>307.8</v>
      </c>
      <c r="DT78" s="40">
        <v>291.36</v>
      </c>
      <c r="DU78" s="40">
        <v>319.13</v>
      </c>
      <c r="DV78" s="40">
        <v>297.37</v>
      </c>
      <c r="DW78" s="40">
        <v>288.55</v>
      </c>
      <c r="DX78" s="40">
        <v>439.18</v>
      </c>
      <c r="DY78" s="40">
        <v>319.82</v>
      </c>
      <c r="DZ78" s="40">
        <v>313.27999999999997</v>
      </c>
      <c r="EA78" s="40">
        <v>302.52</v>
      </c>
      <c r="EB78" s="40">
        <v>281.69</v>
      </c>
      <c r="EC78" s="40">
        <v>333.68</v>
      </c>
      <c r="ED78" s="40">
        <v>586.02</v>
      </c>
      <c r="EE78" s="40">
        <v>319.37</v>
      </c>
      <c r="EF78" s="40">
        <v>251.16</v>
      </c>
      <c r="EG78" s="40">
        <v>312.89</v>
      </c>
      <c r="EH78" s="40">
        <v>288.60000000000002</v>
      </c>
      <c r="EI78" s="40">
        <v>311.89999999999998</v>
      </c>
      <c r="EJ78" s="40">
        <v>369.83</v>
      </c>
      <c r="EK78" s="40">
        <v>306.42</v>
      </c>
      <c r="EL78" s="40">
        <v>307.89</v>
      </c>
      <c r="EM78" s="40">
        <v>326.44</v>
      </c>
      <c r="EN78" s="40">
        <v>305.27999999999997</v>
      </c>
      <c r="EO78" s="40">
        <v>324.45</v>
      </c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x14ac:dyDescent="0.25">
      <c r="A79" s="41" t="s">
        <v>225</v>
      </c>
      <c r="B79" s="40">
        <v>1294.17</v>
      </c>
      <c r="C79" s="40">
        <v>1346.95</v>
      </c>
      <c r="D79" s="40">
        <v>1294.17</v>
      </c>
      <c r="E79" s="40">
        <v>1346.95</v>
      </c>
      <c r="F79" s="40">
        <v>1294.17</v>
      </c>
      <c r="G79" s="40">
        <v>1346.95</v>
      </c>
      <c r="H79" s="40">
        <v>1294.17</v>
      </c>
      <c r="I79" s="40">
        <v>1346.95</v>
      </c>
      <c r="J79" s="40">
        <v>1294.17</v>
      </c>
      <c r="K79" s="40">
        <v>1346.95</v>
      </c>
      <c r="L79" s="40">
        <v>0</v>
      </c>
      <c r="M79" s="40">
        <v>1346.95</v>
      </c>
      <c r="N79" s="40">
        <v>2588.34</v>
      </c>
      <c r="O79" s="40">
        <v>1346.95</v>
      </c>
      <c r="P79" s="40">
        <v>1294.17</v>
      </c>
      <c r="Q79" s="40">
        <v>1346.95</v>
      </c>
      <c r="R79" s="40">
        <v>1294.17</v>
      </c>
      <c r="S79" s="40">
        <v>1346.95</v>
      </c>
      <c r="T79" s="40">
        <v>1294.17</v>
      </c>
      <c r="U79" s="40">
        <v>1346.95</v>
      </c>
      <c r="V79" s="40">
        <v>1294.17</v>
      </c>
      <c r="W79" s="40">
        <v>1346.95</v>
      </c>
      <c r="X79" s="40">
        <v>1294.17</v>
      </c>
      <c r="Y79" s="40">
        <v>1346.95</v>
      </c>
      <c r="Z79" s="40">
        <f t="shared" si="41"/>
        <v>-52.779999999999973</v>
      </c>
      <c r="AA79" s="59">
        <v>15478</v>
      </c>
      <c r="AB79" s="112">
        <v>15000</v>
      </c>
      <c r="AC79" s="40" t="s">
        <v>4</v>
      </c>
      <c r="AD79" s="40">
        <f t="shared" si="34"/>
        <v>15530.04</v>
      </c>
      <c r="AE79" s="64">
        <f>+AI79/12*A108</f>
        <v>16111</v>
      </c>
      <c r="AF79" s="40">
        <f t="shared" si="35"/>
        <v>-580.95999999999913</v>
      </c>
      <c r="AG79" s="40">
        <f t="shared" si="36"/>
        <v>16163.400000000003</v>
      </c>
      <c r="AH79" s="40" t="s">
        <v>4</v>
      </c>
      <c r="AI79" s="63">
        <v>16111</v>
      </c>
      <c r="AJ79" s="62">
        <f t="shared" si="37"/>
        <v>0.96394016510458702</v>
      </c>
      <c r="AK79" s="62"/>
      <c r="AL79" s="40">
        <v>1433.03</v>
      </c>
      <c r="AM79" s="40">
        <v>1433.03</v>
      </c>
      <c r="AN79" s="40">
        <v>1433.03</v>
      </c>
      <c r="AO79" s="40">
        <v>1433.03</v>
      </c>
      <c r="AP79" s="40">
        <v>1433.03</v>
      </c>
      <c r="AQ79" s="40">
        <v>1433.03</v>
      </c>
      <c r="AR79" s="40">
        <v>1433.03</v>
      </c>
      <c r="AS79" s="40">
        <v>1433.03</v>
      </c>
      <c r="AT79" s="40">
        <v>1433.03</v>
      </c>
      <c r="AU79" s="40">
        <v>1433.03</v>
      </c>
      <c r="AV79" s="40">
        <v>1433.03</v>
      </c>
      <c r="AW79" s="40">
        <v>1433.03</v>
      </c>
      <c r="AX79" s="40">
        <v>1218.28</v>
      </c>
      <c r="AY79" s="40">
        <v>1218.28</v>
      </c>
      <c r="AZ79" s="40">
        <v>1218.28</v>
      </c>
      <c r="BA79" s="40">
        <v>1218.28</v>
      </c>
      <c r="BB79" s="40">
        <v>1218.28</v>
      </c>
      <c r="BC79" s="40">
        <v>996.49</v>
      </c>
      <c r="BD79" s="40">
        <v>996.49</v>
      </c>
      <c r="BE79" s="40">
        <v>996.49</v>
      </c>
      <c r="BF79" s="40">
        <v>996.49</v>
      </c>
      <c r="BG79" s="40">
        <v>996.49</v>
      </c>
      <c r="BH79" s="40">
        <f>1143.56-147.07</f>
        <v>996.49</v>
      </c>
      <c r="BI79" s="47">
        <f>1143.56-147.07</f>
        <v>996.49</v>
      </c>
      <c r="BJ79" s="48">
        <v>1232.2</v>
      </c>
      <c r="BK79" s="48">
        <v>1232.2</v>
      </c>
      <c r="BL79" s="48">
        <v>1232.2</v>
      </c>
      <c r="BM79" s="48">
        <v>1232.2</v>
      </c>
      <c r="BN79" s="48">
        <v>1205.5899999999999</v>
      </c>
      <c r="BO79" s="48">
        <v>1205.5899999999999</v>
      </c>
      <c r="BP79" s="48">
        <v>1205.5899999999999</v>
      </c>
      <c r="BQ79" s="48">
        <v>1205.5899999999999</v>
      </c>
      <c r="BR79" s="48">
        <v>1205.5899999999999</v>
      </c>
      <c r="BS79" s="48">
        <v>1205.5899999999999</v>
      </c>
      <c r="BT79" s="48">
        <v>1205.5899999999999</v>
      </c>
      <c r="BU79" s="47">
        <v>1205.5899999999999</v>
      </c>
      <c r="BV79" s="40">
        <v>1250.56</v>
      </c>
      <c r="BW79" s="40">
        <v>1250.56</v>
      </c>
      <c r="BX79" s="64">
        <v>1250.56</v>
      </c>
      <c r="BY79" s="40">
        <v>1250.56</v>
      </c>
      <c r="BZ79" s="40">
        <v>1250.56</v>
      </c>
      <c r="CA79" s="48">
        <v>1250.56</v>
      </c>
      <c r="CB79" s="40">
        <v>1138.68</v>
      </c>
      <c r="CC79" s="40">
        <v>1138.68</v>
      </c>
      <c r="CD79" s="47">
        <v>1138.68</v>
      </c>
      <c r="CE79" s="40">
        <v>1138.68</v>
      </c>
      <c r="CF79" s="48">
        <v>1138.68</v>
      </c>
      <c r="CG79" s="48">
        <v>1138.68</v>
      </c>
      <c r="CH79" s="64">
        <v>1183.33</v>
      </c>
      <c r="CI79" s="64">
        <v>1183.33</v>
      </c>
      <c r="CJ79" s="64">
        <v>1183.33</v>
      </c>
      <c r="CK79" s="64">
        <v>1183.33</v>
      </c>
      <c r="CL79" s="64">
        <v>1183.33</v>
      </c>
      <c r="CM79" s="64">
        <v>1183.33</v>
      </c>
      <c r="CN79" s="64">
        <v>1183.33</v>
      </c>
      <c r="CO79" s="64">
        <v>1183.33</v>
      </c>
      <c r="CP79" s="64">
        <v>1183.33</v>
      </c>
      <c r="CQ79" s="64">
        <v>1101.8399999999999</v>
      </c>
      <c r="CR79" s="40">
        <v>1101.8399999999999</v>
      </c>
      <c r="CS79" s="48">
        <v>1101.8399999999999</v>
      </c>
      <c r="CT79" s="64">
        <v>998.37</v>
      </c>
      <c r="CU79" s="64">
        <v>1009.68</v>
      </c>
      <c r="CV79" s="64">
        <v>1022.04</v>
      </c>
      <c r="CW79" s="64">
        <v>1022.04</v>
      </c>
      <c r="CX79" s="64">
        <v>1022.04</v>
      </c>
      <c r="CY79" s="64">
        <v>1056.48</v>
      </c>
      <c r="CZ79" s="64">
        <v>998.37</v>
      </c>
      <c r="DA79" s="64">
        <v>998.37</v>
      </c>
      <c r="DB79" s="64">
        <v>998.37</v>
      </c>
      <c r="DC79" s="64">
        <v>998.37</v>
      </c>
      <c r="DD79" s="64">
        <v>1004.19</v>
      </c>
      <c r="DE79" s="40">
        <v>992.55</v>
      </c>
      <c r="DF79" s="64">
        <v>770.49</v>
      </c>
      <c r="DG79" s="64">
        <v>-516.29</v>
      </c>
      <c r="DH79" s="64">
        <v>1278.81</v>
      </c>
      <c r="DI79" s="64">
        <v>1278.81</v>
      </c>
      <c r="DJ79" s="64">
        <v>1278.81</v>
      </c>
      <c r="DK79" s="64">
        <v>1278.81</v>
      </c>
      <c r="DL79" s="64">
        <v>1283.8900000000001</v>
      </c>
      <c r="DM79" s="64">
        <v>1268.98</v>
      </c>
      <c r="DN79" s="64">
        <v>1268.98</v>
      </c>
      <c r="DO79" s="64">
        <v>1268.98</v>
      </c>
      <c r="DP79" s="64">
        <v>1184.0999999999999</v>
      </c>
      <c r="DQ79" s="40">
        <v>1341.19</v>
      </c>
      <c r="DR79" s="64">
        <v>1341.19</v>
      </c>
      <c r="DS79" s="64">
        <v>1328.56</v>
      </c>
      <c r="DT79" s="64">
        <v>1328.56</v>
      </c>
      <c r="DU79" s="64">
        <v>1328.56</v>
      </c>
      <c r="DV79" s="64">
        <v>1328.56</v>
      </c>
      <c r="DW79" s="64">
        <v>1328.56</v>
      </c>
      <c r="DX79" s="64">
        <v>1328.56</v>
      </c>
      <c r="DY79" s="64">
        <v>1328.56</v>
      </c>
      <c r="DZ79" s="64">
        <v>1328.56</v>
      </c>
      <c r="EA79" s="64">
        <v>1328.56</v>
      </c>
      <c r="EB79" s="64">
        <v>1328.56</v>
      </c>
      <c r="EC79" s="64">
        <v>1328.56</v>
      </c>
      <c r="ED79" s="64">
        <v>1408.04</v>
      </c>
      <c r="EE79" s="64">
        <v>1408.04</v>
      </c>
      <c r="EF79" s="64">
        <v>1408.04</v>
      </c>
      <c r="EG79" s="64">
        <v>1408.04</v>
      </c>
      <c r="EH79" s="64">
        <v>1408.04</v>
      </c>
      <c r="EI79" s="64">
        <v>1408.04</v>
      </c>
      <c r="EJ79" s="64">
        <v>1408.04</v>
      </c>
      <c r="EK79" s="64">
        <v>1408.04</v>
      </c>
      <c r="EL79" s="64">
        <v>1372.76</v>
      </c>
      <c r="EM79" s="64">
        <v>1372.76</v>
      </c>
      <c r="EN79" s="64">
        <v>1372.76</v>
      </c>
      <c r="EO79" s="64">
        <v>1372.76</v>
      </c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s="91" customFormat="1" ht="15.6" x14ac:dyDescent="0.3">
      <c r="A80" s="86" t="s">
        <v>226</v>
      </c>
      <c r="B80" s="87">
        <f t="shared" ref="B80:Z80" si="47">SUM(B60:B79)</f>
        <v>71632.190000000017</v>
      </c>
      <c r="C80" s="87">
        <f t="shared" si="47"/>
        <v>74325.98</v>
      </c>
      <c r="D80" s="87">
        <f t="shared" si="47"/>
        <v>79474.000000000015</v>
      </c>
      <c r="E80" s="87">
        <f t="shared" si="47"/>
        <v>76163.879999999976</v>
      </c>
      <c r="F80" s="87">
        <f t="shared" si="47"/>
        <v>68772.23000000001</v>
      </c>
      <c r="G80" s="87">
        <f t="shared" si="47"/>
        <v>74033.47</v>
      </c>
      <c r="H80" s="87">
        <f t="shared" si="47"/>
        <v>68234.340000000011</v>
      </c>
      <c r="I80" s="87">
        <f t="shared" si="47"/>
        <v>73514.77</v>
      </c>
      <c r="J80" s="87">
        <f t="shared" si="47"/>
        <v>71820.410000000018</v>
      </c>
      <c r="K80" s="87">
        <f t="shared" si="47"/>
        <v>69605.009999999995</v>
      </c>
      <c r="L80" s="87">
        <f t="shared" si="47"/>
        <v>65099.460000000006</v>
      </c>
      <c r="M80" s="87">
        <f t="shared" si="47"/>
        <v>69642.189999999988</v>
      </c>
      <c r="N80" s="87">
        <f t="shared" si="47"/>
        <v>79129.020000000019</v>
      </c>
      <c r="O80" s="87">
        <f t="shared" si="47"/>
        <v>71626.983999999997</v>
      </c>
      <c r="P80" s="87">
        <f t="shared" si="47"/>
        <v>72880.710000000006</v>
      </c>
      <c r="Q80" s="87">
        <f t="shared" si="47"/>
        <v>71228.919999999984</v>
      </c>
      <c r="R80" s="87">
        <f t="shared" si="47"/>
        <v>76197.240000000034</v>
      </c>
      <c r="S80" s="87">
        <f t="shared" si="47"/>
        <v>80388.44</v>
      </c>
      <c r="T80" s="87">
        <f t="shared" si="47"/>
        <v>67331.92</v>
      </c>
      <c r="U80" s="87">
        <f t="shared" si="47"/>
        <v>77435.179999999993</v>
      </c>
      <c r="V80" s="87">
        <f t="shared" si="47"/>
        <v>67195.569999999992</v>
      </c>
      <c r="W80" s="87">
        <f t="shared" si="47"/>
        <v>82410.159999999974</v>
      </c>
      <c r="X80" s="87">
        <f t="shared" si="47"/>
        <v>65758.710000000036</v>
      </c>
      <c r="Y80" s="87">
        <f t="shared" si="47"/>
        <v>74457.390000000014</v>
      </c>
      <c r="Z80" s="87">
        <f t="shared" si="47"/>
        <v>-8698.6799999999912</v>
      </c>
      <c r="AA80" s="94">
        <v>934061</v>
      </c>
      <c r="AB80" s="95">
        <v>973152</v>
      </c>
      <c r="AC80" s="73" t="s">
        <v>4</v>
      </c>
      <c r="AD80" s="87">
        <f>SUM(AD60:AD79)</f>
        <v>853525.79999999993</v>
      </c>
      <c r="AE80" s="73">
        <f>SUM(AE60:AE79)</f>
        <v>935111</v>
      </c>
      <c r="AF80" s="87">
        <f>SUM(AF60:AF79)</f>
        <v>-81585.199999999924</v>
      </c>
      <c r="AG80" s="87">
        <f>SUM(AG60:AG79)</f>
        <v>894832.37400000007</v>
      </c>
      <c r="AH80" s="73" t="s">
        <v>4</v>
      </c>
      <c r="AI80" s="88">
        <f>SUM(AI60:AI79)</f>
        <v>961611</v>
      </c>
      <c r="AJ80" s="89">
        <f t="shared" si="37"/>
        <v>0.88759987146569652</v>
      </c>
      <c r="AK80" s="89"/>
      <c r="AL80" s="87">
        <f t="shared" ref="AL80:CW80" si="48">SUM(AL60:AL79)</f>
        <v>69258.02</v>
      </c>
      <c r="AM80" s="87">
        <f t="shared" si="48"/>
        <v>77890.78</v>
      </c>
      <c r="AN80" s="87">
        <f t="shared" si="48"/>
        <v>83974.239999999991</v>
      </c>
      <c r="AO80" s="87">
        <f t="shared" si="48"/>
        <v>73121.760000000009</v>
      </c>
      <c r="AP80" s="87">
        <f t="shared" si="48"/>
        <v>74833.949999999968</v>
      </c>
      <c r="AQ80" s="87">
        <f t="shared" si="48"/>
        <v>71338.859999999986</v>
      </c>
      <c r="AR80" s="87">
        <f t="shared" si="48"/>
        <v>72991.01999999999</v>
      </c>
      <c r="AS80" s="87">
        <f t="shared" si="48"/>
        <v>69897.819999999978</v>
      </c>
      <c r="AT80" s="87">
        <f t="shared" si="48"/>
        <v>76665.62</v>
      </c>
      <c r="AU80" s="87">
        <f t="shared" si="48"/>
        <v>71169.960000000021</v>
      </c>
      <c r="AV80" s="87">
        <f t="shared" si="48"/>
        <v>79313.880000000019</v>
      </c>
      <c r="AW80" s="87">
        <f t="shared" si="48"/>
        <v>70400.169999999984</v>
      </c>
      <c r="AX80" s="90">
        <f t="shared" si="48"/>
        <v>75910.179999999978</v>
      </c>
      <c r="AY80" s="90">
        <f t="shared" si="48"/>
        <v>77483.890000000014</v>
      </c>
      <c r="AZ80" s="90">
        <f t="shared" si="48"/>
        <v>84851.65</v>
      </c>
      <c r="BA80" s="90">
        <f t="shared" si="48"/>
        <v>75319.59</v>
      </c>
      <c r="BB80" s="90">
        <f t="shared" si="48"/>
        <v>73688.95</v>
      </c>
      <c r="BC80" s="90">
        <f t="shared" si="48"/>
        <v>70625.569999999992</v>
      </c>
      <c r="BD80" s="90">
        <f t="shared" si="48"/>
        <v>70256.599999999977</v>
      </c>
      <c r="BE80" s="90">
        <f t="shared" si="48"/>
        <v>71134.121000000014</v>
      </c>
      <c r="BF80" s="90">
        <f t="shared" si="48"/>
        <v>70786.42</v>
      </c>
      <c r="BG80" s="90">
        <f t="shared" si="48"/>
        <v>70735.55</v>
      </c>
      <c r="BH80" s="90">
        <f t="shared" si="48"/>
        <v>78463.579999999973</v>
      </c>
      <c r="BI80" s="90">
        <f t="shared" si="48"/>
        <v>71141.479999999981</v>
      </c>
      <c r="BJ80" s="87">
        <f t="shared" si="48"/>
        <v>72416.049999999988</v>
      </c>
      <c r="BK80" s="87">
        <f t="shared" si="48"/>
        <v>71875.219999999972</v>
      </c>
      <c r="BL80" s="87">
        <f t="shared" si="48"/>
        <v>84148.95</v>
      </c>
      <c r="BM80" s="87">
        <f t="shared" si="48"/>
        <v>80166.81</v>
      </c>
      <c r="BN80" s="87">
        <f t="shared" si="48"/>
        <v>69390.359999999986</v>
      </c>
      <c r="BO80" s="87">
        <f t="shared" si="48"/>
        <v>68585.929999999993</v>
      </c>
      <c r="BP80" s="87">
        <f t="shared" si="48"/>
        <v>65636.029999999984</v>
      </c>
      <c r="BQ80" s="87">
        <f t="shared" si="48"/>
        <v>68695.189999999988</v>
      </c>
      <c r="BR80" s="87">
        <f t="shared" si="48"/>
        <v>71720.95</v>
      </c>
      <c r="BS80" s="87">
        <f t="shared" si="48"/>
        <v>66827.119999999981</v>
      </c>
      <c r="BT80" s="87">
        <f t="shared" si="48"/>
        <v>73866</v>
      </c>
      <c r="BU80" s="90">
        <f t="shared" si="48"/>
        <v>69925.73</v>
      </c>
      <c r="BV80" s="87">
        <f t="shared" si="48"/>
        <v>78930.600000000006</v>
      </c>
      <c r="BW80" s="87">
        <f t="shared" si="48"/>
        <v>71265.550000000017</v>
      </c>
      <c r="BX80" s="87">
        <f t="shared" si="48"/>
        <v>85168.35</v>
      </c>
      <c r="BY80" s="87">
        <f t="shared" si="48"/>
        <v>71591.53</v>
      </c>
      <c r="BZ80" s="87">
        <f t="shared" si="48"/>
        <v>66013.759999999995</v>
      </c>
      <c r="CA80" s="87">
        <f t="shared" si="48"/>
        <v>66606.66</v>
      </c>
      <c r="CB80" s="87">
        <f t="shared" si="48"/>
        <v>66616.760000000009</v>
      </c>
      <c r="CC80" s="87">
        <f t="shared" si="48"/>
        <v>66851.12</v>
      </c>
      <c r="CD80" s="87">
        <f t="shared" si="48"/>
        <v>65378.93</v>
      </c>
      <c r="CE80" s="87">
        <f t="shared" si="48"/>
        <v>71862.659999999989</v>
      </c>
      <c r="CF80" s="87">
        <f t="shared" si="48"/>
        <v>73847.249999999971</v>
      </c>
      <c r="CG80" s="87">
        <f t="shared" si="48"/>
        <v>64524.71</v>
      </c>
      <c r="CH80" s="87">
        <f t="shared" si="48"/>
        <v>71251.00999999998</v>
      </c>
      <c r="CI80" s="87">
        <f t="shared" si="48"/>
        <v>69389.489999999991</v>
      </c>
      <c r="CJ80" s="87">
        <f t="shared" si="48"/>
        <v>83474.55</v>
      </c>
      <c r="CK80" s="87">
        <f t="shared" si="48"/>
        <v>48138.900000000009</v>
      </c>
      <c r="CL80" s="87">
        <f t="shared" si="48"/>
        <v>63764.570000000007</v>
      </c>
      <c r="CM80" s="87">
        <f t="shared" si="48"/>
        <v>61878.55</v>
      </c>
      <c r="CN80" s="87">
        <f t="shared" si="48"/>
        <v>60769.3</v>
      </c>
      <c r="CO80" s="87">
        <f t="shared" si="48"/>
        <v>61505.80000000001</v>
      </c>
      <c r="CP80" s="87">
        <f t="shared" si="48"/>
        <v>64218.5</v>
      </c>
      <c r="CQ80" s="87">
        <f t="shared" si="48"/>
        <v>67206.58</v>
      </c>
      <c r="CR80" s="87">
        <f t="shared" si="48"/>
        <v>74768.849999999977</v>
      </c>
      <c r="CS80" s="87">
        <f t="shared" si="48"/>
        <v>63703</v>
      </c>
      <c r="CT80" s="73">
        <f t="shared" si="48"/>
        <v>65457.829999999994</v>
      </c>
      <c r="CU80" s="73">
        <f t="shared" si="48"/>
        <v>65053.590000000011</v>
      </c>
      <c r="CV80" s="73">
        <f t="shared" si="48"/>
        <v>81626.36</v>
      </c>
      <c r="CW80" s="73">
        <f t="shared" si="48"/>
        <v>61468.7</v>
      </c>
      <c r="CX80" s="73">
        <f t="shared" ref="CX80:EN80" si="49">SUM(CX60:CX79)</f>
        <v>64136.62</v>
      </c>
      <c r="CY80" s="73">
        <f t="shared" si="49"/>
        <v>52060.800000000003</v>
      </c>
      <c r="CZ80" s="87">
        <f t="shared" si="49"/>
        <v>62081.97</v>
      </c>
      <c r="DA80" s="73">
        <f t="shared" si="49"/>
        <v>62506.479999999996</v>
      </c>
      <c r="DB80" s="73">
        <f t="shared" si="49"/>
        <v>63135.220000000008</v>
      </c>
      <c r="DC80" s="73">
        <f t="shared" si="49"/>
        <v>60084.3</v>
      </c>
      <c r="DD80" s="73">
        <f t="shared" si="49"/>
        <v>70467.049999999988</v>
      </c>
      <c r="DE80" s="87">
        <f t="shared" si="49"/>
        <v>70159.750000000015</v>
      </c>
      <c r="DF80" s="73">
        <f t="shared" si="49"/>
        <v>69128.45</v>
      </c>
      <c r="DG80" s="73">
        <f t="shared" si="49"/>
        <v>54050.98000000001</v>
      </c>
      <c r="DH80" s="73">
        <f t="shared" si="49"/>
        <v>81242.75</v>
      </c>
      <c r="DI80" s="73">
        <f t="shared" si="49"/>
        <v>65353.07</v>
      </c>
      <c r="DJ80" s="73">
        <f t="shared" si="49"/>
        <v>61255.66</v>
      </c>
      <c r="DK80" s="73">
        <f t="shared" si="49"/>
        <v>58620.159999999989</v>
      </c>
      <c r="DL80" s="87">
        <f t="shared" si="49"/>
        <v>63467.48</v>
      </c>
      <c r="DM80" s="73">
        <f t="shared" si="49"/>
        <v>46314.499999999993</v>
      </c>
      <c r="DN80" s="73">
        <f t="shared" si="49"/>
        <v>62435.599999999984</v>
      </c>
      <c r="DO80" s="73">
        <f t="shared" si="49"/>
        <v>66734.789999999994</v>
      </c>
      <c r="DP80" s="73">
        <f t="shared" si="49"/>
        <v>69612.66</v>
      </c>
      <c r="DQ80" s="87">
        <f t="shared" si="49"/>
        <v>66914.529999999984</v>
      </c>
      <c r="DR80" s="73">
        <f t="shared" si="49"/>
        <v>71256.099999999991</v>
      </c>
      <c r="DS80" s="73">
        <f t="shared" si="49"/>
        <v>74315.070000000007</v>
      </c>
      <c r="DT80" s="73">
        <f t="shared" si="49"/>
        <v>70690.070000000007</v>
      </c>
      <c r="DU80" s="73">
        <f t="shared" si="49"/>
        <v>69078.470000000016</v>
      </c>
      <c r="DV80" s="73">
        <f t="shared" si="49"/>
        <v>63141.550000000017</v>
      </c>
      <c r="DW80" s="73">
        <f t="shared" si="49"/>
        <v>63158.100000000013</v>
      </c>
      <c r="DX80" s="73">
        <f t="shared" si="49"/>
        <v>51685.120000000003</v>
      </c>
      <c r="DY80" s="73">
        <f t="shared" si="49"/>
        <v>76414.090000000011</v>
      </c>
      <c r="DZ80" s="73">
        <f t="shared" si="49"/>
        <v>60619.62000000001</v>
      </c>
      <c r="EA80" s="73">
        <f t="shared" si="49"/>
        <v>68330.429999999993</v>
      </c>
      <c r="EB80" s="73">
        <f t="shared" si="49"/>
        <v>64541.880000000005</v>
      </c>
      <c r="EC80" s="73">
        <f t="shared" si="49"/>
        <v>62343.69</v>
      </c>
      <c r="ED80" s="73">
        <f t="shared" si="49"/>
        <v>72049.48</v>
      </c>
      <c r="EE80" s="73">
        <f t="shared" si="49"/>
        <v>72664.94</v>
      </c>
      <c r="EF80" s="73">
        <f t="shared" si="49"/>
        <v>67358.75</v>
      </c>
      <c r="EG80" s="73">
        <f t="shared" si="49"/>
        <v>61373.06</v>
      </c>
      <c r="EH80" s="73">
        <f t="shared" si="49"/>
        <v>58449.22</v>
      </c>
      <c r="EI80" s="73">
        <f t="shared" si="49"/>
        <v>64651.510000000009</v>
      </c>
      <c r="EJ80" s="73">
        <f t="shared" si="49"/>
        <v>65376.869999999995</v>
      </c>
      <c r="EK80" s="73">
        <f t="shared" si="49"/>
        <v>57264.959999999985</v>
      </c>
      <c r="EL80" s="73">
        <f t="shared" si="49"/>
        <v>66153.64</v>
      </c>
      <c r="EM80" s="73">
        <f t="shared" si="49"/>
        <v>59687.179999999993</v>
      </c>
      <c r="EN80" s="73">
        <f t="shared" si="49"/>
        <v>67623.460000000006</v>
      </c>
      <c r="EO80" s="73">
        <f>SUM(EO60:EO79)</f>
        <v>63202.130000000005</v>
      </c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</row>
    <row r="81" spans="1:255" x14ac:dyDescent="0.25">
      <c r="A81" s="41"/>
      <c r="AA81" s="59"/>
      <c r="AB81" s="60"/>
      <c r="AC81" s="40" t="s">
        <v>4</v>
      </c>
      <c r="AD81" s="40"/>
      <c r="AE81" s="40"/>
      <c r="AF81" s="40"/>
      <c r="AG81" s="40"/>
      <c r="AH81" s="40" t="s">
        <v>4</v>
      </c>
      <c r="AI81" s="61"/>
      <c r="AJ81" s="41"/>
      <c r="AK81" s="41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8"/>
      <c r="BK81" s="48"/>
      <c r="BL81" s="48"/>
      <c r="BM81" s="48"/>
      <c r="BN81" s="48"/>
      <c r="BO81" s="48"/>
      <c r="BP81" s="48" t="s">
        <v>227</v>
      </c>
      <c r="BQ81" s="48"/>
      <c r="BR81" s="48"/>
      <c r="BS81" s="48"/>
      <c r="BT81" s="48"/>
      <c r="BU81" s="47"/>
      <c r="BV81" s="40"/>
      <c r="BW81" s="40"/>
      <c r="BY81" s="40"/>
      <c r="BZ81" s="40"/>
      <c r="CA81" s="40"/>
      <c r="CB81" s="40"/>
      <c r="CC81" s="40"/>
      <c r="CD81" s="40"/>
      <c r="CF81" s="40"/>
      <c r="CG81" s="48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ht="16.2" thickBot="1" x14ac:dyDescent="0.35">
      <c r="A82" s="41" t="s">
        <v>228</v>
      </c>
      <c r="B82" s="80">
        <f t="shared" ref="B82:W82" si="50">+B25+B31+B49+B54+B80</f>
        <v>108743.94000000002</v>
      </c>
      <c r="C82" s="80">
        <f t="shared" si="50"/>
        <v>110749.98999999999</v>
      </c>
      <c r="D82" s="80">
        <f t="shared" si="50"/>
        <v>109310.77000000002</v>
      </c>
      <c r="E82" s="80">
        <f t="shared" si="50"/>
        <v>105484.49999999997</v>
      </c>
      <c r="F82" s="80">
        <f t="shared" si="50"/>
        <v>106005.41</v>
      </c>
      <c r="G82" s="80">
        <f t="shared" si="50"/>
        <v>108790.14</v>
      </c>
      <c r="H82" s="80">
        <f t="shared" si="50"/>
        <v>104790.45000000001</v>
      </c>
      <c r="I82" s="80">
        <f t="shared" si="50"/>
        <v>113783.11</v>
      </c>
      <c r="J82" s="80">
        <f t="shared" si="50"/>
        <v>102295.49000000002</v>
      </c>
      <c r="K82" s="80">
        <f t="shared" si="50"/>
        <v>100780.19</v>
      </c>
      <c r="L82" s="80">
        <f t="shared" si="50"/>
        <v>101163.1</v>
      </c>
      <c r="M82" s="80">
        <f t="shared" si="50"/>
        <v>108788.87</v>
      </c>
      <c r="N82" s="80">
        <f t="shared" si="50"/>
        <v>110630.04000000002</v>
      </c>
      <c r="O82" s="80">
        <f t="shared" si="50"/>
        <v>101656.04399999999</v>
      </c>
      <c r="P82" s="80">
        <f t="shared" si="50"/>
        <v>103436.46</v>
      </c>
      <c r="Q82" s="80">
        <f t="shared" si="50"/>
        <v>100526.85999999999</v>
      </c>
      <c r="R82" s="80">
        <f t="shared" si="50"/>
        <v>103647.15000000004</v>
      </c>
      <c r="S82" s="80">
        <f t="shared" si="50"/>
        <v>123182.45000000001</v>
      </c>
      <c r="T82" s="80">
        <f t="shared" si="50"/>
        <v>96068.59</v>
      </c>
      <c r="U82" s="80">
        <f t="shared" si="50"/>
        <v>106266.37</v>
      </c>
      <c r="V82" s="80">
        <f t="shared" si="50"/>
        <v>109456.31999999999</v>
      </c>
      <c r="W82" s="80">
        <f t="shared" si="50"/>
        <v>99629.359999999971</v>
      </c>
      <c r="X82" s="80">
        <f>+X25+X31+X49+X54+X80+X24</f>
        <v>110186.91000000003</v>
      </c>
      <c r="Y82" s="80">
        <f>+Y25+Y31+Y49+Y54+Y80+Y24</f>
        <v>195589.41000000003</v>
      </c>
      <c r="Z82" s="80">
        <f>+Z25+Z31+Z49+Z54+Z80</f>
        <v>-85402.5</v>
      </c>
      <c r="AA82" s="108">
        <v>1421816</v>
      </c>
      <c r="AB82" s="111">
        <v>1492812</v>
      </c>
      <c r="AC82" s="40" t="s">
        <v>4</v>
      </c>
      <c r="AD82" s="80">
        <f>+AD25+AD31+AD49+AD54+AD80</f>
        <v>1265734.6299999999</v>
      </c>
      <c r="AE82" s="80">
        <f>+AE25+AE31+AE49+AE54+AE80</f>
        <v>1668800</v>
      </c>
      <c r="AF82" s="80">
        <f>+AF25+AF31+AF49+AF54+AF80</f>
        <v>-403065.36999999988</v>
      </c>
      <c r="AG82" s="80">
        <f>+AG25+AG31+AG49+AG54+AG80</f>
        <v>1375227.294</v>
      </c>
      <c r="AH82" s="40" t="s">
        <v>4</v>
      </c>
      <c r="AI82" s="81">
        <f>+AI25+AI31+AI49+AI54+AI80</f>
        <v>1695300</v>
      </c>
      <c r="AJ82" s="62">
        <f>+AD82/AI82</f>
        <v>0.74661395033327427</v>
      </c>
      <c r="AK82" s="62"/>
      <c r="AL82" s="80">
        <f t="shared" ref="AL82:BY82" si="51">+AL25+AL31+AL49+AL54+AL80</f>
        <v>181808.06</v>
      </c>
      <c r="AM82" s="80">
        <f t="shared" si="51"/>
        <v>122610.09</v>
      </c>
      <c r="AN82" s="80">
        <f t="shared" si="51"/>
        <v>123407.96999999999</v>
      </c>
      <c r="AO82" s="80">
        <f t="shared" si="51"/>
        <v>113250.75</v>
      </c>
      <c r="AP82" s="80">
        <f t="shared" si="51"/>
        <v>106349.26999999996</v>
      </c>
      <c r="AQ82" s="80">
        <f t="shared" si="51"/>
        <v>111299.48999999999</v>
      </c>
      <c r="AR82" s="80">
        <f t="shared" si="51"/>
        <v>111858.95999999999</v>
      </c>
      <c r="AS82" s="80">
        <f t="shared" si="51"/>
        <v>100390.90999999997</v>
      </c>
      <c r="AT82" s="80">
        <f t="shared" si="51"/>
        <v>122735.28999999998</v>
      </c>
      <c r="AU82" s="80">
        <f t="shared" si="51"/>
        <v>114626.75000000001</v>
      </c>
      <c r="AV82" s="80">
        <f t="shared" si="51"/>
        <v>114059.88000000002</v>
      </c>
      <c r="AW82" s="80">
        <f t="shared" si="51"/>
        <v>112668.44999999998</v>
      </c>
      <c r="AX82" s="82">
        <f t="shared" si="51"/>
        <v>177679.02099999992</v>
      </c>
      <c r="AY82" s="82">
        <f t="shared" si="51"/>
        <v>123356.81</v>
      </c>
      <c r="AZ82" s="82">
        <f t="shared" si="51"/>
        <v>131646.37</v>
      </c>
      <c r="BA82" s="82">
        <f t="shared" si="51"/>
        <v>118287.73999999999</v>
      </c>
      <c r="BB82" s="82">
        <f t="shared" si="51"/>
        <v>113112.76</v>
      </c>
      <c r="BC82" s="82">
        <f t="shared" si="51"/>
        <v>111927.65999999999</v>
      </c>
      <c r="BD82" s="82">
        <f t="shared" si="51"/>
        <v>105527.43999999997</v>
      </c>
      <c r="BE82" s="82">
        <f t="shared" si="51"/>
        <v>114580.12100000001</v>
      </c>
      <c r="BF82" s="82">
        <f t="shared" si="51"/>
        <v>118113.20999999999</v>
      </c>
      <c r="BG82" s="82">
        <f t="shared" si="51"/>
        <v>112540.6</v>
      </c>
      <c r="BH82" s="82">
        <f t="shared" si="51"/>
        <v>111773.40999999997</v>
      </c>
      <c r="BI82" s="82">
        <f t="shared" si="51"/>
        <v>108440.93999999997</v>
      </c>
      <c r="BJ82" s="80">
        <f t="shared" si="51"/>
        <v>249296.52</v>
      </c>
      <c r="BK82" s="80">
        <f t="shared" si="51"/>
        <v>112701.97999999997</v>
      </c>
      <c r="BL82" s="80">
        <f t="shared" si="51"/>
        <v>128000.36</v>
      </c>
      <c r="BM82" s="80">
        <f t="shared" si="51"/>
        <v>123944.01999999999</v>
      </c>
      <c r="BN82" s="80">
        <f t="shared" si="51"/>
        <v>111935.26999999999</v>
      </c>
      <c r="BO82" s="80">
        <f t="shared" si="51"/>
        <v>110839.35999999999</v>
      </c>
      <c r="BP82" s="80">
        <f t="shared" si="51"/>
        <v>109295.85999999999</v>
      </c>
      <c r="BQ82" s="80">
        <f t="shared" si="51"/>
        <v>110166.40999999999</v>
      </c>
      <c r="BR82" s="80">
        <f t="shared" si="51"/>
        <v>114834.63999999998</v>
      </c>
      <c r="BS82" s="80">
        <f t="shared" si="51"/>
        <v>106935.98999999999</v>
      </c>
      <c r="BT82" s="80">
        <f t="shared" si="51"/>
        <v>121982.88999999998</v>
      </c>
      <c r="BU82" s="82">
        <f t="shared" si="51"/>
        <v>117672.68</v>
      </c>
      <c r="BV82" s="80">
        <f t="shared" si="51"/>
        <v>262424.18</v>
      </c>
      <c r="BW82" s="80">
        <f t="shared" si="51"/>
        <v>120102.93000000002</v>
      </c>
      <c r="BX82" s="80">
        <f t="shared" si="51"/>
        <v>133101.21000000002</v>
      </c>
      <c r="BY82" s="80">
        <f t="shared" si="51"/>
        <v>117838.81</v>
      </c>
      <c r="BZ82" s="80">
        <f>+BZ25+BZ31+BZ49+BZ80</f>
        <v>113802.25</v>
      </c>
      <c r="CA82" s="80">
        <f t="shared" ref="CA82:CK82" si="52">+CA25+CA31+CA49+CA54+CA80</f>
        <v>99819.16</v>
      </c>
      <c r="CB82" s="80">
        <f t="shared" si="52"/>
        <v>100449.02000000002</v>
      </c>
      <c r="CC82" s="80">
        <f t="shared" si="52"/>
        <v>116026.07999999999</v>
      </c>
      <c r="CD82" s="80">
        <f t="shared" si="52"/>
        <v>96652.99</v>
      </c>
      <c r="CE82" s="80">
        <f t="shared" si="52"/>
        <v>114255.81999999999</v>
      </c>
      <c r="CF82" s="80">
        <f t="shared" si="52"/>
        <v>115540.42999999996</v>
      </c>
      <c r="CG82" s="80">
        <f t="shared" si="52"/>
        <v>103906.25</v>
      </c>
      <c r="CH82" s="80">
        <f t="shared" si="52"/>
        <v>376813.88</v>
      </c>
      <c r="CI82" s="80">
        <f t="shared" si="52"/>
        <v>125721.82999999999</v>
      </c>
      <c r="CJ82" s="80">
        <f t="shared" si="52"/>
        <v>117215.59</v>
      </c>
      <c r="CK82" s="80">
        <f t="shared" si="52"/>
        <v>98952.180000000008</v>
      </c>
      <c r="CL82" s="80">
        <f>+CL25+CL31+CL49+CL80</f>
        <v>106488.66</v>
      </c>
      <c r="CM82" s="80">
        <f t="shared" ref="CM82:CZ82" si="53">+CM25+CM31+CM49+CM54+CM80</f>
        <v>96117.640000000014</v>
      </c>
      <c r="CN82" s="80">
        <f t="shared" si="53"/>
        <v>112124.98999999999</v>
      </c>
      <c r="CO82" s="80">
        <f t="shared" si="53"/>
        <v>98104.680000000022</v>
      </c>
      <c r="CP82" s="80">
        <f t="shared" si="53"/>
        <v>105303.87</v>
      </c>
      <c r="CQ82" s="80">
        <f t="shared" si="53"/>
        <v>118076.94</v>
      </c>
      <c r="CR82" s="80">
        <f t="shared" si="53"/>
        <v>116730.29999999997</v>
      </c>
      <c r="CS82" s="80">
        <f t="shared" si="53"/>
        <v>102482.85</v>
      </c>
      <c r="CT82" s="80">
        <f t="shared" si="53"/>
        <v>371580.19</v>
      </c>
      <c r="CU82" s="80">
        <f t="shared" si="53"/>
        <v>104979.63</v>
      </c>
      <c r="CV82" s="80">
        <f t="shared" si="53"/>
        <v>125110.91</v>
      </c>
      <c r="CW82" s="80">
        <f t="shared" si="53"/>
        <v>102148.57999999999</v>
      </c>
      <c r="CX82" s="80">
        <f t="shared" si="53"/>
        <v>107283.54000000001</v>
      </c>
      <c r="CY82" s="80">
        <f t="shared" si="53"/>
        <v>87930.450000000012</v>
      </c>
      <c r="CZ82" s="80">
        <f t="shared" si="53"/>
        <v>103687.27</v>
      </c>
      <c r="DA82" s="80">
        <f>+DA25+DA31+DA49+DA80</f>
        <v>102491.45</v>
      </c>
      <c r="DB82" s="80">
        <f>+DB25+DB31+DB49+DB54+DB80</f>
        <v>99734.580000000016</v>
      </c>
      <c r="DC82" s="80">
        <f>+DC25+DC31+DC49+DC54+DC80</f>
        <v>119377.42000000001</v>
      </c>
      <c r="DD82" s="80">
        <f>+DD25+DD31+DD49+DD54+DD80</f>
        <v>121395.04999999999</v>
      </c>
      <c r="DE82" s="80">
        <f>+DE25+DE31+DE49+DE54+DE80</f>
        <v>113567.21000000002</v>
      </c>
      <c r="DF82" s="80">
        <f t="shared" ref="DF82:EN82" si="54">+DF25+DF31+DF49+DF54+DF80</f>
        <v>391773.5</v>
      </c>
      <c r="DG82" s="80">
        <f t="shared" si="54"/>
        <v>99826.330000000016</v>
      </c>
      <c r="DH82" s="80">
        <f t="shared" si="54"/>
        <v>125845.14000000001</v>
      </c>
      <c r="DI82" s="80">
        <f t="shared" si="54"/>
        <v>112879.3</v>
      </c>
      <c r="DJ82" s="80">
        <f t="shared" si="54"/>
        <v>95761.13</v>
      </c>
      <c r="DK82" s="80">
        <f t="shared" si="54"/>
        <v>101819.07999999999</v>
      </c>
      <c r="DL82" s="80">
        <f t="shared" si="54"/>
        <v>99752.200000000012</v>
      </c>
      <c r="DM82" s="80">
        <f t="shared" si="54"/>
        <v>86115.01999999999</v>
      </c>
      <c r="DN82" s="80">
        <f t="shared" si="54"/>
        <v>105626.78999999998</v>
      </c>
      <c r="DO82" s="80">
        <f t="shared" si="54"/>
        <v>103963.57999999999</v>
      </c>
      <c r="DP82" s="80">
        <f t="shared" si="54"/>
        <v>111689.27</v>
      </c>
      <c r="DQ82" s="80">
        <f t="shared" si="54"/>
        <v>108849.55999999998</v>
      </c>
      <c r="DR82" s="80">
        <f t="shared" si="54"/>
        <v>307409.63</v>
      </c>
      <c r="DS82" s="80">
        <f t="shared" si="54"/>
        <v>119116.32</v>
      </c>
      <c r="DT82" s="80">
        <f t="shared" si="54"/>
        <v>123434.58000000002</v>
      </c>
      <c r="DU82" s="80">
        <f t="shared" si="54"/>
        <v>95890.410000000018</v>
      </c>
      <c r="DV82" s="80">
        <f t="shared" si="54"/>
        <v>104625.42000000001</v>
      </c>
      <c r="DW82" s="80">
        <f t="shared" si="54"/>
        <v>107235.09000000003</v>
      </c>
      <c r="DX82" s="80">
        <f t="shared" si="54"/>
        <v>87872.73000000001</v>
      </c>
      <c r="DY82" s="80">
        <f t="shared" si="54"/>
        <v>115976.53</v>
      </c>
      <c r="DZ82" s="80">
        <f t="shared" si="54"/>
        <v>102654.07</v>
      </c>
      <c r="EA82" s="80">
        <f t="shared" si="54"/>
        <v>107329.31999999999</v>
      </c>
      <c r="EB82" s="80">
        <f t="shared" si="54"/>
        <v>103802.99000000002</v>
      </c>
      <c r="EC82" s="80">
        <f t="shared" si="54"/>
        <v>106671.61</v>
      </c>
      <c r="ED82" s="80">
        <f t="shared" si="54"/>
        <v>452693.47</v>
      </c>
      <c r="EE82" s="80">
        <f t="shared" si="54"/>
        <v>114901.06</v>
      </c>
      <c r="EF82" s="80">
        <f t="shared" si="54"/>
        <v>106907.24</v>
      </c>
      <c r="EG82" s="80">
        <f t="shared" si="54"/>
        <v>104496.8</v>
      </c>
      <c r="EH82" s="80">
        <f t="shared" si="54"/>
        <v>93991.510000000009</v>
      </c>
      <c r="EI82" s="80">
        <f t="shared" si="54"/>
        <v>93724.74</v>
      </c>
      <c r="EJ82" s="80">
        <f t="shared" si="54"/>
        <v>90611.86</v>
      </c>
      <c r="EK82" s="80">
        <f t="shared" si="54"/>
        <v>90856.099999999977</v>
      </c>
      <c r="EL82" s="80">
        <f t="shared" si="54"/>
        <v>93045.760000000009</v>
      </c>
      <c r="EM82" s="80">
        <f t="shared" si="54"/>
        <v>81134.5</v>
      </c>
      <c r="EN82" s="80">
        <f t="shared" si="54"/>
        <v>112405.45000000001</v>
      </c>
      <c r="EO82" s="80">
        <f>EO25+EO31+EO49+EO54+EO80</f>
        <v>119502</v>
      </c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</row>
    <row r="83" spans="1:255" ht="15.6" thickTop="1" x14ac:dyDescent="0.25">
      <c r="A83" s="41" t="s">
        <v>229</v>
      </c>
      <c r="B83" s="40">
        <f t="shared" ref="B83:Z83" si="55">+B19-B82</f>
        <v>7705.7199999999866</v>
      </c>
      <c r="C83" s="40">
        <f t="shared" si="55"/>
        <v>-374.67999999999302</v>
      </c>
      <c r="D83" s="40">
        <f t="shared" si="55"/>
        <v>-7180.6200000000099</v>
      </c>
      <c r="E83" s="40">
        <f t="shared" si="55"/>
        <v>-12728.599999999977</v>
      </c>
      <c r="F83" s="40">
        <f t="shared" si="55"/>
        <v>26648.76999999999</v>
      </c>
      <c r="G83" s="40">
        <f t="shared" si="55"/>
        <v>8302.36</v>
      </c>
      <c r="H83" s="40">
        <f t="shared" si="55"/>
        <v>1462.7899999999936</v>
      </c>
      <c r="I83" s="40">
        <f t="shared" si="55"/>
        <v>7796.8800000000047</v>
      </c>
      <c r="J83" s="40">
        <f t="shared" si="55"/>
        <v>-6695.0800000000163</v>
      </c>
      <c r="K83" s="40">
        <f t="shared" si="55"/>
        <v>-387.42999999999302</v>
      </c>
      <c r="L83" s="40">
        <f t="shared" si="55"/>
        <v>12129.009999999995</v>
      </c>
      <c r="M83" s="40">
        <f t="shared" si="55"/>
        <v>6122.7099999999919</v>
      </c>
      <c r="N83" s="40">
        <f t="shared" si="55"/>
        <v>-9569.1300000000192</v>
      </c>
      <c r="O83" s="40">
        <f t="shared" si="55"/>
        <v>-3490.3039999999892</v>
      </c>
      <c r="P83" s="40">
        <f t="shared" si="55"/>
        <v>-6017.5200000000041</v>
      </c>
      <c r="Q83" s="40">
        <f t="shared" si="55"/>
        <v>-16390.059999999983</v>
      </c>
      <c r="R83" s="40">
        <f t="shared" si="55"/>
        <v>-15424.22000000003</v>
      </c>
      <c r="S83" s="40">
        <f t="shared" si="55"/>
        <v>14979.489999999991</v>
      </c>
      <c r="T83" s="40">
        <f t="shared" si="55"/>
        <v>-2901.5100000000093</v>
      </c>
      <c r="U83" s="40">
        <f t="shared" si="55"/>
        <v>-22753.51999999999</v>
      </c>
      <c r="V83" s="40">
        <f t="shared" si="55"/>
        <v>44559.539999999994</v>
      </c>
      <c r="W83" s="40">
        <f t="shared" si="55"/>
        <v>23864.300000000032</v>
      </c>
      <c r="X83" s="40">
        <f t="shared" si="55"/>
        <v>39451.949999999953</v>
      </c>
      <c r="Y83" s="40">
        <f t="shared" si="55"/>
        <v>10856.499999999971</v>
      </c>
      <c r="Z83" s="40">
        <f t="shared" si="55"/>
        <v>28595.44999999999</v>
      </c>
      <c r="AA83" s="107">
        <v>0</v>
      </c>
      <c r="AB83" s="112">
        <v>0</v>
      </c>
      <c r="AC83" s="40" t="s">
        <v>4</v>
      </c>
      <c r="AD83" s="40">
        <f>+AD19-AD82</f>
        <v>84169.699999999953</v>
      </c>
      <c r="AE83" s="40">
        <f>+AE19-AE82</f>
        <v>26200</v>
      </c>
      <c r="AF83" s="40">
        <f>+AF19-AF82</f>
        <v>57969.699999999721</v>
      </c>
      <c r="AG83" s="40">
        <f>+AG19-AG82</f>
        <v>15797.64599999995</v>
      </c>
      <c r="AH83" s="40" t="s">
        <v>4</v>
      </c>
      <c r="AI83" s="40"/>
      <c r="AJ83" s="41"/>
      <c r="AK83" s="41"/>
      <c r="AL83" s="40">
        <f t="shared" ref="AL83:CW83" si="56">+AL19-AL82</f>
        <v>57148.03</v>
      </c>
      <c r="AM83" s="40">
        <f t="shared" si="56"/>
        <v>6472.1100000000006</v>
      </c>
      <c r="AN83" s="40">
        <f t="shared" si="56"/>
        <v>-7929.4999999999854</v>
      </c>
      <c r="AO83" s="40">
        <f t="shared" si="56"/>
        <v>-8511.5999999999913</v>
      </c>
      <c r="AP83" s="40">
        <f t="shared" si="56"/>
        <v>-24807.129999999961</v>
      </c>
      <c r="AQ83" s="40">
        <f t="shared" si="56"/>
        <v>4222.0000000000146</v>
      </c>
      <c r="AR83" s="40">
        <f t="shared" si="56"/>
        <v>-7772.3799999999901</v>
      </c>
      <c r="AS83" s="40">
        <f t="shared" si="56"/>
        <v>-5325.5099999999802</v>
      </c>
      <c r="AT83" s="40">
        <f t="shared" si="56"/>
        <v>8807.5100000000093</v>
      </c>
      <c r="AU83" s="40">
        <f t="shared" si="56"/>
        <v>1859.5299999999843</v>
      </c>
      <c r="AV83" s="40">
        <f t="shared" si="56"/>
        <v>-17614.280000000028</v>
      </c>
      <c r="AW83" s="40">
        <f t="shared" si="56"/>
        <v>12515.930000000022</v>
      </c>
      <c r="AX83" s="47">
        <f t="shared" si="56"/>
        <v>23823.619000000093</v>
      </c>
      <c r="AY83" s="47">
        <f t="shared" si="56"/>
        <v>17193.660000000003</v>
      </c>
      <c r="AZ83" s="47">
        <f t="shared" si="56"/>
        <v>7015.9500000000116</v>
      </c>
      <c r="BA83" s="47">
        <f t="shared" si="56"/>
        <v>-3455.4499999999825</v>
      </c>
      <c r="BB83" s="47">
        <f t="shared" si="56"/>
        <v>-8841.6299999999901</v>
      </c>
      <c r="BC83" s="47">
        <f t="shared" si="56"/>
        <v>2478.660000000018</v>
      </c>
      <c r="BD83" s="47">
        <f t="shared" si="56"/>
        <v>-12294.989999999976</v>
      </c>
      <c r="BE83" s="47">
        <f t="shared" si="56"/>
        <v>11347.628999999972</v>
      </c>
      <c r="BF83" s="47">
        <f t="shared" si="56"/>
        <v>20039.690000000002</v>
      </c>
      <c r="BG83" s="47">
        <f t="shared" si="56"/>
        <v>5136.1299999999901</v>
      </c>
      <c r="BH83" s="40">
        <f t="shared" si="56"/>
        <v>-21607.979999999981</v>
      </c>
      <c r="BI83" s="47">
        <f t="shared" si="56"/>
        <v>16291.820000000022</v>
      </c>
      <c r="BJ83" s="40">
        <f t="shared" si="56"/>
        <v>-31853.880000000005</v>
      </c>
      <c r="BK83" s="40">
        <f t="shared" si="56"/>
        <v>14743.270000000033</v>
      </c>
      <c r="BL83" s="40">
        <f t="shared" si="56"/>
        <v>-15179.689999999988</v>
      </c>
      <c r="BM83" s="40">
        <f t="shared" si="56"/>
        <v>-439.61000000000058</v>
      </c>
      <c r="BN83" s="40">
        <f t="shared" si="56"/>
        <v>-1549.3699999999953</v>
      </c>
      <c r="BO83" s="40">
        <f t="shared" si="56"/>
        <v>2408.2900000000227</v>
      </c>
      <c r="BP83" s="40">
        <f t="shared" si="56"/>
        <v>7552.5000000000146</v>
      </c>
      <c r="BQ83" s="40">
        <f t="shared" si="56"/>
        <v>-2909.2299999999814</v>
      </c>
      <c r="BR83" s="40">
        <f t="shared" si="56"/>
        <v>755.17000000001281</v>
      </c>
      <c r="BS83" s="40">
        <f t="shared" si="56"/>
        <v>-1688.4799999999959</v>
      </c>
      <c r="BT83" s="40">
        <f t="shared" si="56"/>
        <v>27062.680000000022</v>
      </c>
      <c r="BU83" s="47">
        <f t="shared" si="56"/>
        <v>13612.170000000013</v>
      </c>
      <c r="BV83" s="40">
        <f t="shared" si="56"/>
        <v>-28162.179999999993</v>
      </c>
      <c r="BW83" s="40">
        <f t="shared" si="56"/>
        <v>27808.479999999981</v>
      </c>
      <c r="BX83" s="40">
        <f t="shared" si="56"/>
        <v>-845.12000000002445</v>
      </c>
      <c r="BY83" s="40">
        <f t="shared" si="56"/>
        <v>7359.6900000000023</v>
      </c>
      <c r="BZ83" s="40">
        <f t="shared" si="56"/>
        <v>7410.8099999999977</v>
      </c>
      <c r="CA83" s="40">
        <f t="shared" si="56"/>
        <v>-12326.23000000001</v>
      </c>
      <c r="CB83" s="40">
        <f t="shared" si="56"/>
        <v>-11144.760000000009</v>
      </c>
      <c r="CC83" s="40">
        <f t="shared" si="56"/>
        <v>21070.640000000014</v>
      </c>
      <c r="CD83" s="40">
        <f t="shared" si="56"/>
        <v>-10785.970000000001</v>
      </c>
      <c r="CE83" s="40">
        <f t="shared" si="56"/>
        <v>6056.9200000000128</v>
      </c>
      <c r="CF83" s="40">
        <f t="shared" si="56"/>
        <v>-2075.7899999999645</v>
      </c>
      <c r="CG83" s="40">
        <f t="shared" si="56"/>
        <v>16585.569999999992</v>
      </c>
      <c r="CH83" s="40">
        <f t="shared" si="56"/>
        <v>-105626.68</v>
      </c>
      <c r="CI83" s="40">
        <f t="shared" si="56"/>
        <v>32593.060000000027</v>
      </c>
      <c r="CJ83" s="40">
        <f t="shared" si="56"/>
        <v>-28288.179999999993</v>
      </c>
      <c r="CK83" s="40">
        <f t="shared" si="56"/>
        <v>27947.299999999988</v>
      </c>
      <c r="CL83" s="40">
        <f t="shared" si="56"/>
        <v>5775.0099999999948</v>
      </c>
      <c r="CM83" s="40">
        <f t="shared" si="56"/>
        <v>14905.529999999999</v>
      </c>
      <c r="CN83" s="40">
        <f t="shared" si="56"/>
        <v>25504.100000000035</v>
      </c>
      <c r="CO83" s="40">
        <f t="shared" si="56"/>
        <v>-155.5800000000163</v>
      </c>
      <c r="CP83" s="40">
        <f t="shared" si="56"/>
        <v>3240.0200000000041</v>
      </c>
      <c r="CQ83" s="40">
        <f t="shared" si="56"/>
        <v>25704.679999999993</v>
      </c>
      <c r="CR83" s="40">
        <f t="shared" si="56"/>
        <v>-2686.5099999999657</v>
      </c>
      <c r="CS83" s="40">
        <f t="shared" si="56"/>
        <v>15463.149999999994</v>
      </c>
      <c r="CT83" s="40">
        <f t="shared" si="56"/>
        <v>-99003.31</v>
      </c>
      <c r="CU83" s="40">
        <f t="shared" si="56"/>
        <v>13275.089999999997</v>
      </c>
      <c r="CV83" s="40">
        <f t="shared" si="56"/>
        <v>298.34999999999127</v>
      </c>
      <c r="CW83" s="40">
        <f t="shared" si="56"/>
        <v>6482.2200000000157</v>
      </c>
      <c r="CX83" s="40">
        <f t="shared" ref="CX83:EN83" si="57">+CX19-CX82</f>
        <v>5972.8699999999808</v>
      </c>
      <c r="CY83" s="40">
        <f t="shared" si="57"/>
        <v>3763.6999999999825</v>
      </c>
      <c r="CZ83" s="40">
        <f t="shared" si="57"/>
        <v>12925.330000000002</v>
      </c>
      <c r="DA83" s="40">
        <f t="shared" si="57"/>
        <v>9480.3399999999965</v>
      </c>
      <c r="DB83" s="40">
        <f t="shared" si="57"/>
        <v>-1576.0900000000256</v>
      </c>
      <c r="DC83" s="40">
        <f t="shared" si="57"/>
        <v>25642.579999999987</v>
      </c>
      <c r="DD83" s="40">
        <f t="shared" si="57"/>
        <v>22285.070000000007</v>
      </c>
      <c r="DE83" s="40">
        <f t="shared" si="57"/>
        <v>18798.619999999995</v>
      </c>
      <c r="DF83" s="40">
        <f t="shared" si="57"/>
        <v>-148477.16</v>
      </c>
      <c r="DG83" s="40">
        <f t="shared" si="57"/>
        <v>44157.469999999972</v>
      </c>
      <c r="DH83" s="40">
        <f t="shared" si="57"/>
        <v>3570.3899999999849</v>
      </c>
      <c r="DI83" s="40">
        <f t="shared" si="57"/>
        <v>21947.380000000019</v>
      </c>
      <c r="DJ83" s="40">
        <f t="shared" si="57"/>
        <v>-829.77999999999884</v>
      </c>
      <c r="DK83" s="40">
        <f t="shared" si="57"/>
        <v>6710.1200000000099</v>
      </c>
      <c r="DL83" s="40">
        <f t="shared" si="57"/>
        <v>9153.4499999999825</v>
      </c>
      <c r="DM83" s="40">
        <f t="shared" si="57"/>
        <v>23155.08</v>
      </c>
      <c r="DN83" s="40">
        <f t="shared" si="57"/>
        <v>24197.87000000001</v>
      </c>
      <c r="DO83" s="40">
        <f t="shared" si="57"/>
        <v>1065.2300000000105</v>
      </c>
      <c r="DP83" s="40">
        <f t="shared" si="57"/>
        <v>20502.12000000001</v>
      </c>
      <c r="DQ83" s="40">
        <f t="shared" si="57"/>
        <v>16832.310000000012</v>
      </c>
      <c r="DR83" s="40">
        <f t="shared" si="57"/>
        <v>-101169.1</v>
      </c>
      <c r="DS83" s="40">
        <f t="shared" si="57"/>
        <v>17453.920000000013</v>
      </c>
      <c r="DT83" s="40">
        <f t="shared" si="57"/>
        <v>13425.149999999965</v>
      </c>
      <c r="DU83" s="40">
        <f t="shared" si="57"/>
        <v>-18834.340000000011</v>
      </c>
      <c r="DV83" s="40">
        <f t="shared" si="57"/>
        <v>4497.4099999999889</v>
      </c>
      <c r="DW83" s="40">
        <f t="shared" si="57"/>
        <v>16211.75999999998</v>
      </c>
      <c r="DX83" s="40">
        <f t="shared" si="57"/>
        <v>10203.37999999999</v>
      </c>
      <c r="DY83" s="40">
        <f t="shared" si="57"/>
        <v>-5937.0299999999988</v>
      </c>
      <c r="DZ83" s="40">
        <f t="shared" si="57"/>
        <v>32265.369999999995</v>
      </c>
      <c r="EA83" s="40">
        <f t="shared" si="57"/>
        <v>4289.5000000000146</v>
      </c>
      <c r="EB83" s="40">
        <f t="shared" si="57"/>
        <v>3443.039999999979</v>
      </c>
      <c r="EC83" s="40">
        <f t="shared" si="57"/>
        <v>46264.729999999996</v>
      </c>
      <c r="ED83" s="40">
        <f t="shared" si="57"/>
        <v>-247591.23999999996</v>
      </c>
      <c r="EE83" s="40">
        <f t="shared" si="57"/>
        <v>50086.869999999995</v>
      </c>
      <c r="EF83" s="40">
        <f t="shared" si="57"/>
        <v>25779.87999999999</v>
      </c>
      <c r="EG83" s="40">
        <f t="shared" si="57"/>
        <v>28140.410000000018</v>
      </c>
      <c r="EH83" s="40">
        <f t="shared" si="57"/>
        <v>13283.939999999988</v>
      </c>
      <c r="EI83" s="40">
        <f t="shared" si="57"/>
        <v>11859.589999999997</v>
      </c>
      <c r="EJ83" s="40">
        <f t="shared" si="57"/>
        <v>6667.2700000000041</v>
      </c>
      <c r="EK83" s="40">
        <f t="shared" si="57"/>
        <v>61362.24000000002</v>
      </c>
      <c r="EL83" s="40">
        <f t="shared" si="57"/>
        <v>20481.359999999986</v>
      </c>
      <c r="EM83" s="40">
        <f t="shared" si="57"/>
        <v>51899.100000000006</v>
      </c>
      <c r="EN83" s="40">
        <f t="shared" si="57"/>
        <v>-4417.9900000000052</v>
      </c>
      <c r="EO83" s="40">
        <f>EO19-EO82</f>
        <v>14282.399999999994</v>
      </c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</row>
    <row r="84" spans="1:255" x14ac:dyDescent="0.25">
      <c r="A84" s="41" t="s">
        <v>157</v>
      </c>
      <c r="AC84" s="40"/>
      <c r="AD84" s="40"/>
      <c r="AE84" s="40"/>
      <c r="AF84" s="40"/>
      <c r="AG84" s="40"/>
      <c r="AH84" s="40"/>
      <c r="AI84" s="40"/>
      <c r="AJ84" s="41"/>
      <c r="AK84" s="41"/>
      <c r="BC84" s="41"/>
      <c r="BE84" s="41"/>
      <c r="BI84" s="41"/>
      <c r="BT84" s="48"/>
      <c r="BU84" s="47"/>
      <c r="CG84" s="48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1"/>
      <c r="CS84" s="41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1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1"/>
      <c r="DQ84" s="41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</row>
    <row r="85" spans="1:255" ht="15.6" x14ac:dyDescent="0.3">
      <c r="A85" s="41" t="s">
        <v>237</v>
      </c>
      <c r="AC85" s="40"/>
      <c r="AD85" s="40"/>
      <c r="AE85" s="40"/>
      <c r="AF85" s="40"/>
      <c r="AG85" s="40"/>
      <c r="AH85" s="40"/>
      <c r="AI85" s="40"/>
      <c r="AJ85" s="41"/>
      <c r="AK85" s="41"/>
      <c r="BC85" s="41"/>
      <c r="BI85" s="41"/>
      <c r="BT85" s="48"/>
      <c r="BU85" s="47"/>
      <c r="CG85" s="48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1"/>
      <c r="CS85" s="41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1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1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</row>
    <row r="86" spans="1:255" x14ac:dyDescent="0.25">
      <c r="A86" s="41" t="s">
        <v>246</v>
      </c>
      <c r="AA86" s="40">
        <v>84169.7</v>
      </c>
      <c r="AC86" s="40" t="s">
        <v>4</v>
      </c>
      <c r="AD86" s="40"/>
      <c r="AE86" s="40"/>
      <c r="AF86" s="40"/>
      <c r="AG86" s="40"/>
      <c r="AH86" s="40"/>
      <c r="AI86" s="40"/>
      <c r="AJ86" s="41"/>
      <c r="AK86" s="41"/>
      <c r="BC86" s="41"/>
      <c r="BI86" s="41"/>
      <c r="BT86" s="48"/>
      <c r="BU86" s="47"/>
      <c r="CG86" s="48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1"/>
      <c r="CS86" s="41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1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1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</row>
    <row r="87" spans="1:255" x14ac:dyDescent="0.25">
      <c r="A87" s="41"/>
      <c r="AC87" s="40"/>
      <c r="AD87" s="40"/>
      <c r="AE87" s="40"/>
      <c r="AF87" s="40"/>
      <c r="AG87" s="40"/>
      <c r="AH87" s="40"/>
      <c r="AI87" s="40"/>
      <c r="AJ87" s="41"/>
      <c r="AK87" s="41"/>
      <c r="BC87" s="41"/>
      <c r="BI87" s="41"/>
      <c r="BT87" s="48"/>
      <c r="BU87" s="47"/>
      <c r="CG87" s="48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1"/>
      <c r="CS87" s="41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1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1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</row>
    <row r="88" spans="1:255" ht="15.6" x14ac:dyDescent="0.3">
      <c r="A88" s="41" t="s">
        <v>241</v>
      </c>
      <c r="AA88" s="40">
        <v>36816</v>
      </c>
      <c r="AC88" s="40" t="s">
        <v>4</v>
      </c>
      <c r="AD88" s="40"/>
      <c r="AE88" s="40"/>
      <c r="AF88" s="40"/>
      <c r="AG88" s="40"/>
      <c r="AH88" s="40"/>
      <c r="AI88" s="40"/>
      <c r="AJ88" s="41"/>
      <c r="AK88" s="41"/>
      <c r="BC88" s="41"/>
      <c r="BI88" s="41"/>
      <c r="BT88" s="48"/>
      <c r="BU88" s="47"/>
      <c r="CG88" s="48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1"/>
      <c r="CS88" s="41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1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1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</row>
    <row r="89" spans="1:255" x14ac:dyDescent="0.25">
      <c r="A89" s="41"/>
      <c r="AC89" s="40"/>
      <c r="AD89" s="40"/>
      <c r="AE89" s="40"/>
      <c r="AF89" s="40"/>
      <c r="AG89" s="40"/>
      <c r="AH89" s="40"/>
      <c r="AI89" s="40"/>
      <c r="AJ89" s="41"/>
      <c r="AK89" s="41"/>
      <c r="BC89" s="41"/>
      <c r="BI89" s="41"/>
      <c r="BT89" s="48"/>
      <c r="BU89" s="47"/>
      <c r="CG89" s="48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1"/>
      <c r="CS89" s="41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1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1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</row>
    <row r="90" spans="1:255" ht="15.6" x14ac:dyDescent="0.3">
      <c r="A90" s="41" t="s">
        <v>245</v>
      </c>
      <c r="AA90" s="40">
        <v>20000</v>
      </c>
      <c r="AC90" s="40" t="s">
        <v>4</v>
      </c>
      <c r="AD90" s="40"/>
      <c r="AE90" s="40"/>
      <c r="AF90" s="40"/>
      <c r="AG90" s="40"/>
      <c r="AH90" s="40"/>
      <c r="AI90" s="40"/>
      <c r="AJ90" s="41"/>
      <c r="AK90" s="41"/>
      <c r="BC90" s="41"/>
      <c r="BI90" s="41"/>
      <c r="BT90" s="48"/>
      <c r="BU90" s="47"/>
      <c r="CG90" s="48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1"/>
      <c r="CS90" s="41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1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1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</row>
    <row r="91" spans="1:255" x14ac:dyDescent="0.25">
      <c r="A91" s="41" t="s">
        <v>238</v>
      </c>
      <c r="AC91" s="40"/>
      <c r="AD91" s="40"/>
      <c r="AE91" s="40"/>
      <c r="AF91" s="40"/>
      <c r="AG91" s="40"/>
      <c r="AH91" s="40"/>
      <c r="AI91" s="40"/>
      <c r="AJ91" s="41"/>
      <c r="AK91" s="41"/>
      <c r="BC91" s="41"/>
      <c r="BI91" s="41"/>
      <c r="BT91" s="48"/>
      <c r="BU91" s="47"/>
      <c r="CG91" s="48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1"/>
      <c r="CS91" s="41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1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1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</row>
    <row r="92" spans="1:255" x14ac:dyDescent="0.25">
      <c r="A92" s="41" t="s">
        <v>239</v>
      </c>
      <c r="AC92" s="40"/>
      <c r="AD92" s="40"/>
      <c r="AE92" s="40"/>
      <c r="AF92" s="40"/>
      <c r="AG92" s="40"/>
      <c r="AH92" s="40"/>
      <c r="AI92" s="40"/>
      <c r="AJ92" s="41"/>
      <c r="AK92" s="41"/>
      <c r="BC92" s="41"/>
      <c r="BI92" s="41"/>
      <c r="BT92" s="48"/>
      <c r="BU92" s="47"/>
      <c r="CG92" s="48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1"/>
      <c r="CS92" s="41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1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1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</row>
    <row r="93" spans="1:255" x14ac:dyDescent="0.25">
      <c r="A93" s="41" t="s">
        <v>240</v>
      </c>
      <c r="AC93" s="40"/>
      <c r="AD93" s="40"/>
      <c r="AE93" s="40"/>
      <c r="AF93" s="40"/>
      <c r="AG93" s="40"/>
      <c r="AH93" s="40"/>
      <c r="AI93" s="40"/>
      <c r="AJ93" s="41"/>
      <c r="AK93" s="41"/>
      <c r="BC93" s="41"/>
      <c r="BI93" s="41"/>
      <c r="BT93" s="48"/>
      <c r="BU93" s="47"/>
      <c r="CG93" s="48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1"/>
      <c r="CS93" s="41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1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1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</row>
    <row r="94" spans="1:255" ht="15.6" x14ac:dyDescent="0.3">
      <c r="A94" s="41" t="s">
        <v>244</v>
      </c>
      <c r="AA94" s="40">
        <v>27353.7</v>
      </c>
      <c r="AC94" s="40" t="s">
        <v>4</v>
      </c>
      <c r="AD94" s="40"/>
      <c r="AE94" s="40"/>
      <c r="AF94" s="40"/>
      <c r="AG94" s="40"/>
      <c r="AH94" s="40"/>
      <c r="AI94" s="40"/>
      <c r="AJ94" s="41"/>
      <c r="AK94" s="41"/>
      <c r="BC94" s="41"/>
      <c r="BI94" s="41"/>
      <c r="BT94" s="48"/>
      <c r="BU94" s="47"/>
      <c r="CG94" s="48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1"/>
      <c r="CS94" s="41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1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1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</row>
    <row r="95" spans="1:255" x14ac:dyDescent="0.25">
      <c r="A95" s="41" t="s">
        <v>243</v>
      </c>
      <c r="AB95" s="40">
        <v>30812</v>
      </c>
      <c r="AC95" s="40" t="s">
        <v>4</v>
      </c>
      <c r="AD95" s="40"/>
      <c r="AE95" s="40"/>
      <c r="AF95" s="40"/>
      <c r="AG95" s="40"/>
      <c r="AH95" s="40"/>
      <c r="AI95" s="40"/>
      <c r="AJ95" s="41"/>
      <c r="AK95" s="41"/>
      <c r="BC95" s="41"/>
      <c r="BI95" s="41"/>
      <c r="BT95" s="48"/>
      <c r="BU95" s="47"/>
      <c r="CG95" s="48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1"/>
      <c r="CS95" s="41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1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1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</row>
    <row r="96" spans="1:255" x14ac:dyDescent="0.25">
      <c r="A96" s="41"/>
      <c r="AC96" s="40"/>
      <c r="AD96" s="40"/>
      <c r="AE96" s="40"/>
      <c r="AF96" s="40"/>
      <c r="AG96" s="40"/>
      <c r="AH96" s="40"/>
      <c r="AI96" s="40"/>
      <c r="AJ96" s="41"/>
      <c r="AK96" s="41"/>
      <c r="BC96" s="41"/>
      <c r="BI96" s="41"/>
      <c r="BT96" s="48"/>
      <c r="BU96" s="47"/>
      <c r="CG96" s="48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1"/>
      <c r="CS96" s="41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1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1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</row>
    <row r="97" spans="1:161" x14ac:dyDescent="0.25">
      <c r="A97" s="41"/>
      <c r="AC97" s="40"/>
      <c r="AD97" s="40"/>
      <c r="AE97" s="40"/>
      <c r="AF97" s="40"/>
      <c r="AG97" s="40"/>
      <c r="AH97" s="40"/>
      <c r="AI97" s="40"/>
      <c r="AJ97" s="41"/>
      <c r="AK97" s="41"/>
      <c r="BC97" s="41"/>
      <c r="BI97" s="41"/>
      <c r="BT97" s="48"/>
      <c r="BU97" s="47"/>
      <c r="CG97" s="48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1"/>
      <c r="CS97" s="41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1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1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</row>
    <row r="98" spans="1:161" x14ac:dyDescent="0.25">
      <c r="A98" s="41"/>
      <c r="AC98" s="40"/>
      <c r="AD98" s="40"/>
      <c r="AE98" s="40"/>
      <c r="AF98" s="40"/>
      <c r="AG98" s="40"/>
      <c r="AH98" s="40"/>
      <c r="AI98" s="40"/>
      <c r="AJ98" s="41"/>
      <c r="AK98" s="41"/>
      <c r="BC98" s="41"/>
      <c r="BI98" s="41"/>
      <c r="BT98" s="48"/>
      <c r="BU98" s="47"/>
      <c r="CG98" s="48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1"/>
      <c r="CS98" s="41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1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7"/>
      <c r="DQ98" s="41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7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</row>
    <row r="99" spans="1:161" x14ac:dyDescent="0.25">
      <c r="A99" s="41" t="s">
        <v>230</v>
      </c>
      <c r="AC99" s="40"/>
      <c r="AD99" s="40"/>
      <c r="AE99" s="40"/>
      <c r="AF99" s="40"/>
      <c r="AG99" s="40"/>
      <c r="AH99" s="40"/>
      <c r="AI99" s="40"/>
      <c r="AJ99" s="41"/>
      <c r="AK99" s="41"/>
      <c r="BC99" s="41"/>
      <c r="BI99" s="41"/>
      <c r="BT99" s="48"/>
      <c r="BU99" s="47"/>
      <c r="CG99" s="48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1"/>
      <c r="CS99" s="41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1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7"/>
      <c r="DQ99" s="41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7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</row>
    <row r="100" spans="1:161" x14ac:dyDescent="0.25">
      <c r="A100" s="41"/>
      <c r="AC100" s="40"/>
      <c r="AD100" s="40"/>
      <c r="AE100" s="40"/>
      <c r="AF100" s="40"/>
      <c r="AG100" s="40"/>
      <c r="AH100" s="40"/>
      <c r="AI100" s="40"/>
      <c r="AJ100" s="41"/>
      <c r="AK100" s="41"/>
      <c r="BC100" s="41"/>
      <c r="BI100" s="41"/>
      <c r="BT100" s="48"/>
      <c r="BU100" s="47"/>
      <c r="CG100" s="48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1"/>
      <c r="CS100" s="41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1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7"/>
      <c r="DQ100" s="41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7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</row>
    <row r="101" spans="1:161" x14ac:dyDescent="0.25">
      <c r="A101" s="41" t="s">
        <v>231</v>
      </c>
      <c r="AC101" s="40"/>
      <c r="AD101" s="40"/>
      <c r="AE101" s="40"/>
      <c r="AF101" s="40"/>
      <c r="AG101" s="40"/>
      <c r="AH101" s="40"/>
      <c r="AI101" s="40"/>
      <c r="AJ101" s="41"/>
      <c r="AK101" s="41"/>
      <c r="BC101" s="41"/>
      <c r="BI101" s="41"/>
      <c r="BT101" s="48"/>
      <c r="BU101" s="47"/>
      <c r="CG101" s="48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1"/>
      <c r="CS101" s="41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1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7"/>
      <c r="DQ101" s="41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7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</row>
    <row r="102" spans="1:161" x14ac:dyDescent="0.25">
      <c r="A102" s="41"/>
      <c r="AC102" s="40"/>
      <c r="AD102" s="40"/>
      <c r="AE102" s="40"/>
      <c r="AF102" s="40"/>
      <c r="AG102" s="40"/>
      <c r="AH102" s="40"/>
      <c r="AI102" s="40"/>
      <c r="AJ102" s="41"/>
      <c r="AK102" s="41"/>
      <c r="BC102" s="41"/>
      <c r="BI102" s="41"/>
      <c r="BT102" s="48"/>
      <c r="BU102" s="47"/>
      <c r="CG102" s="48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1"/>
      <c r="CS102" s="41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1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7"/>
      <c r="DQ102" s="41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7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</row>
    <row r="103" spans="1:161" x14ac:dyDescent="0.25">
      <c r="A103" s="41"/>
      <c r="AC103" s="40"/>
      <c r="AD103" s="40"/>
      <c r="AE103" s="40"/>
      <c r="AF103" s="40"/>
      <c r="AG103" s="40"/>
      <c r="AH103" s="40"/>
      <c r="AI103" s="40"/>
      <c r="AJ103" s="41"/>
      <c r="AK103" s="41"/>
      <c r="BC103" s="41"/>
      <c r="BI103" s="41"/>
      <c r="BT103" s="48"/>
      <c r="BU103" s="47"/>
      <c r="CG103" s="48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1"/>
      <c r="CS103" s="41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1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7"/>
      <c r="DQ103" s="41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7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</row>
    <row r="104" spans="1:161" x14ac:dyDescent="0.25">
      <c r="A104" s="41" t="s">
        <v>1</v>
      </c>
      <c r="AC104" s="40"/>
      <c r="AD104" s="40"/>
      <c r="AE104" s="40"/>
      <c r="AF104" s="40"/>
      <c r="AG104" s="40"/>
      <c r="AH104" s="40"/>
      <c r="AI104" s="40"/>
      <c r="AJ104" s="41"/>
      <c r="AK104" s="41"/>
      <c r="BC104" s="41"/>
      <c r="BI104" s="41"/>
      <c r="BT104" s="48"/>
      <c r="BU104" s="47"/>
      <c r="CG104" s="48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1"/>
      <c r="CS104" s="41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1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7"/>
      <c r="DQ104" s="41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7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</row>
    <row r="105" spans="1:161" x14ac:dyDescent="0.25">
      <c r="A105" s="41"/>
      <c r="AC105" s="40"/>
      <c r="AD105" s="40"/>
      <c r="AE105" s="40"/>
      <c r="AF105" s="40"/>
      <c r="AG105" s="40"/>
      <c r="AH105" s="40"/>
      <c r="AI105" s="40"/>
      <c r="AJ105" s="41"/>
      <c r="AK105" s="41"/>
      <c r="BC105" s="41"/>
      <c r="BI105" s="41"/>
      <c r="BT105" s="48"/>
      <c r="BU105" s="47"/>
      <c r="CG105" s="48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1"/>
      <c r="CS105" s="41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1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7"/>
      <c r="DQ105" s="41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7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</row>
    <row r="106" spans="1:161" x14ac:dyDescent="0.25">
      <c r="A106" s="41"/>
      <c r="AC106" s="40"/>
      <c r="AD106" s="40"/>
      <c r="AE106" s="40"/>
      <c r="AF106" s="40"/>
      <c r="AG106" s="40"/>
      <c r="AH106" s="40"/>
      <c r="AI106" s="40"/>
      <c r="AJ106" s="41"/>
      <c r="AK106" s="41"/>
      <c r="BC106" s="41"/>
      <c r="BI106" s="41"/>
      <c r="BT106" s="48"/>
      <c r="BU106" s="47"/>
      <c r="CG106" s="48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1"/>
      <c r="CS106" s="41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1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7"/>
      <c r="DQ106" s="41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7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</row>
    <row r="107" spans="1:161" x14ac:dyDescent="0.25">
      <c r="A107" s="41"/>
      <c r="AC107" s="40"/>
      <c r="AD107" s="40"/>
      <c r="AE107" s="40"/>
      <c r="AF107" s="40"/>
      <c r="AG107" s="40"/>
      <c r="AH107" s="40"/>
      <c r="AI107" s="40"/>
      <c r="AJ107" s="41"/>
      <c r="AK107" s="41"/>
      <c r="BC107" s="41"/>
      <c r="BI107" s="41"/>
      <c r="BT107" s="48"/>
      <c r="BU107" s="47"/>
      <c r="CG107" s="48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1"/>
      <c r="CS107" s="41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1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7"/>
      <c r="DQ107" s="41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7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</row>
    <row r="108" spans="1:161" x14ac:dyDescent="0.25">
      <c r="A108" s="83">
        <v>12</v>
      </c>
      <c r="AC108" s="40"/>
      <c r="AD108" s="40"/>
      <c r="AE108" s="40"/>
      <c r="AF108" s="40"/>
      <c r="AG108" s="40"/>
      <c r="AH108" s="40"/>
      <c r="AI108" s="40"/>
      <c r="AJ108" s="41"/>
      <c r="AK108" s="41"/>
      <c r="BC108" s="41"/>
      <c r="BI108" s="41"/>
      <c r="BT108" s="48"/>
      <c r="BU108" s="47"/>
      <c r="CG108" s="48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1"/>
      <c r="CS108" s="41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1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7"/>
      <c r="DQ108" s="41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7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</row>
    <row r="109" spans="1:161" x14ac:dyDescent="0.25">
      <c r="A109" s="41"/>
      <c r="AC109" s="40"/>
      <c r="AD109" s="40"/>
      <c r="AE109" s="40"/>
      <c r="AF109" s="40"/>
      <c r="AG109" s="40"/>
      <c r="AH109" s="40"/>
      <c r="AI109" s="40"/>
      <c r="AJ109" s="41"/>
      <c r="AK109" s="41"/>
      <c r="BC109" s="41"/>
      <c r="BI109" s="41"/>
      <c r="BT109" s="48"/>
      <c r="BU109" s="47"/>
      <c r="CG109" s="48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1"/>
      <c r="CS109" s="41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1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7"/>
      <c r="DQ109" s="41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7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</row>
    <row r="110" spans="1:161" x14ac:dyDescent="0.25">
      <c r="A110" s="41" t="s">
        <v>232</v>
      </c>
      <c r="AC110" s="41"/>
      <c r="AD110" s="41"/>
      <c r="AE110" s="41"/>
      <c r="AF110" s="41"/>
      <c r="AG110" s="41"/>
      <c r="AH110" s="41"/>
      <c r="AI110" s="41"/>
      <c r="AJ110" s="41"/>
      <c r="AK110" s="41"/>
      <c r="BC110" s="41"/>
      <c r="BI110" s="41"/>
      <c r="BT110" s="48"/>
      <c r="BU110" s="47"/>
      <c r="CG110" s="48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7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7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</row>
    <row r="111" spans="1:161" x14ac:dyDescent="0.25">
      <c r="A111" s="41" t="s">
        <v>233</v>
      </c>
      <c r="AC111" s="41"/>
      <c r="AD111" s="41"/>
      <c r="AE111" s="41"/>
      <c r="AF111" s="41"/>
      <c r="AG111" s="41"/>
      <c r="AH111" s="41"/>
      <c r="AI111" s="41"/>
      <c r="AJ111" s="41"/>
      <c r="AK111" s="41"/>
      <c r="BC111" s="41"/>
      <c r="BI111" s="41"/>
      <c r="BT111" s="48"/>
      <c r="BU111" s="47"/>
      <c r="CG111" s="48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7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7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</row>
    <row r="112" spans="1:161" x14ac:dyDescent="0.25">
      <c r="A112" s="41"/>
      <c r="AC112" s="41"/>
      <c r="AD112" s="41"/>
      <c r="AE112" s="41"/>
      <c r="AF112" s="41"/>
      <c r="AG112" s="41"/>
      <c r="AH112" s="41"/>
      <c r="AI112" s="41"/>
      <c r="AJ112" s="41"/>
      <c r="AK112" s="41"/>
      <c r="BC112" s="41"/>
      <c r="BI112" s="41"/>
      <c r="BT112" s="48"/>
      <c r="BU112" s="47"/>
      <c r="CG112" s="48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7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7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</row>
    <row r="113" spans="1:161" x14ac:dyDescent="0.25">
      <c r="A113" s="41"/>
      <c r="AC113" s="41"/>
      <c r="AD113" s="41"/>
      <c r="AE113" s="41"/>
      <c r="AF113" s="41"/>
      <c r="AG113" s="41"/>
      <c r="AH113" s="41"/>
      <c r="AI113" s="41"/>
      <c r="AJ113" s="41"/>
      <c r="AK113" s="41"/>
      <c r="BC113" s="41"/>
      <c r="BI113" s="41"/>
      <c r="BT113" s="48"/>
      <c r="BU113" s="47"/>
      <c r="CG113" s="48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7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7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</row>
    <row r="114" spans="1:161" x14ac:dyDescent="0.25">
      <c r="A114" s="41"/>
      <c r="AC114" s="41"/>
      <c r="AD114" s="41"/>
      <c r="AE114" s="41"/>
      <c r="AF114" s="41"/>
      <c r="AG114" s="41"/>
      <c r="AH114" s="41"/>
      <c r="AI114" s="41"/>
      <c r="AJ114" s="41"/>
      <c r="AK114" s="41"/>
      <c r="BC114" s="41"/>
      <c r="BI114" s="41"/>
      <c r="BT114" s="48"/>
      <c r="BU114" s="47"/>
      <c r="CG114" s="48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7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7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</row>
    <row r="115" spans="1:161" x14ac:dyDescent="0.25">
      <c r="A115" s="41"/>
      <c r="AC115" s="41"/>
      <c r="AD115" s="41"/>
      <c r="AE115" s="41"/>
      <c r="AF115" s="41"/>
      <c r="AG115" s="41"/>
      <c r="AH115" s="41"/>
      <c r="AI115" s="41"/>
      <c r="AJ115" s="41"/>
      <c r="AK115" s="41"/>
      <c r="BC115" s="41"/>
      <c r="BI115" s="41"/>
      <c r="BT115" s="48"/>
      <c r="BU115" s="47"/>
      <c r="CG115" s="48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7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7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</row>
    <row r="116" spans="1:161" x14ac:dyDescent="0.25">
      <c r="A116" s="41"/>
      <c r="AC116" s="41"/>
      <c r="AD116" s="41"/>
      <c r="AE116" s="41"/>
      <c r="AF116" s="41"/>
      <c r="AG116" s="41"/>
      <c r="AH116" s="41"/>
      <c r="AI116" s="41"/>
      <c r="AJ116" s="41"/>
      <c r="AK116" s="41"/>
      <c r="BC116" s="41"/>
      <c r="BI116" s="41"/>
      <c r="BT116" s="48"/>
      <c r="BU116" s="47"/>
      <c r="CG116" s="48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7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7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</row>
    <row r="117" spans="1:161" x14ac:dyDescent="0.25">
      <c r="A117" s="41"/>
      <c r="AC117" s="41"/>
      <c r="AD117" s="41"/>
      <c r="AE117" s="41"/>
      <c r="AF117" s="41"/>
      <c r="AG117" s="41"/>
      <c r="AH117" s="41"/>
      <c r="AI117" s="41"/>
      <c r="AJ117" s="41"/>
      <c r="AK117" s="41"/>
      <c r="BC117" s="41"/>
      <c r="BI117" s="41"/>
      <c r="BT117" s="48"/>
      <c r="BU117" s="47"/>
      <c r="CG117" s="48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7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7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</row>
    <row r="118" spans="1:161" x14ac:dyDescent="0.25">
      <c r="A118" s="41"/>
      <c r="AC118" s="41"/>
      <c r="AD118" s="41"/>
      <c r="AE118" s="41"/>
      <c r="AF118" s="41"/>
      <c r="AG118" s="41"/>
      <c r="AH118" s="41"/>
      <c r="AI118" s="41"/>
      <c r="AJ118" s="41"/>
      <c r="AK118" s="41"/>
      <c r="BI118" s="41"/>
      <c r="BT118" s="48"/>
      <c r="BU118" s="47"/>
      <c r="CG118" s="48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7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7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</row>
    <row r="119" spans="1:161" x14ac:dyDescent="0.25">
      <c r="A119" s="41"/>
      <c r="AC119" s="41"/>
      <c r="AD119" s="41"/>
      <c r="AE119" s="41"/>
      <c r="AF119" s="41"/>
      <c r="AG119" s="41"/>
      <c r="AH119" s="41"/>
      <c r="AI119" s="41"/>
      <c r="AJ119" s="41"/>
      <c r="AK119" s="41"/>
      <c r="BI119" s="41"/>
      <c r="BT119" s="48"/>
      <c r="BU119" s="47"/>
      <c r="CG119" s="48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7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7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</row>
    <row r="120" spans="1:161" x14ac:dyDescent="0.25">
      <c r="A120" s="41"/>
      <c r="AC120" s="41"/>
      <c r="AD120" s="41"/>
      <c r="AE120" s="41"/>
      <c r="AF120" s="41"/>
      <c r="AG120" s="41"/>
      <c r="AH120" s="41"/>
      <c r="AI120" s="41"/>
      <c r="AJ120" s="41"/>
      <c r="AK120" s="41"/>
      <c r="BI120" s="41"/>
      <c r="BT120" s="48"/>
      <c r="BU120" s="47"/>
      <c r="CG120" s="48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7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7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</row>
    <row r="121" spans="1:161" x14ac:dyDescent="0.25">
      <c r="A121" s="41"/>
      <c r="AC121" s="41"/>
      <c r="AD121" s="41"/>
      <c r="AE121" s="41"/>
      <c r="AF121" s="41"/>
      <c r="AG121" s="41"/>
      <c r="AH121" s="41"/>
      <c r="AI121" s="41"/>
      <c r="AJ121" s="41"/>
      <c r="AK121" s="41"/>
      <c r="BI121" s="41"/>
      <c r="BT121" s="48"/>
      <c r="BU121" s="47"/>
      <c r="CG121" s="48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7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7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</row>
    <row r="122" spans="1:161" x14ac:dyDescent="0.25">
      <c r="A122" s="41"/>
      <c r="AC122" s="41"/>
      <c r="AD122" s="41"/>
      <c r="AE122" s="41"/>
      <c r="AF122" s="41"/>
      <c r="AG122" s="41"/>
      <c r="AH122" s="41"/>
      <c r="AI122" s="41"/>
      <c r="AJ122" s="41"/>
      <c r="AK122" s="41"/>
      <c r="BI122" s="41"/>
      <c r="BT122" s="48"/>
      <c r="BU122" s="47"/>
      <c r="CG122" s="48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7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7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</row>
    <row r="123" spans="1:161" x14ac:dyDescent="0.25">
      <c r="A123" s="41"/>
      <c r="AC123" s="41"/>
      <c r="AD123" s="41"/>
      <c r="AE123" s="41"/>
      <c r="AF123" s="41"/>
      <c r="AG123" s="41"/>
      <c r="AH123" s="41"/>
      <c r="AI123" s="41"/>
      <c r="AJ123" s="41"/>
      <c r="AK123" s="41"/>
      <c r="BI123" s="41"/>
      <c r="BT123" s="48"/>
      <c r="BU123" s="47"/>
      <c r="CG123" s="48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7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7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</row>
    <row r="124" spans="1:161" x14ac:dyDescent="0.25">
      <c r="A124" s="41"/>
      <c r="AC124" s="41"/>
      <c r="AD124" s="41"/>
      <c r="AE124" s="41"/>
      <c r="AF124" s="41"/>
      <c r="AG124" s="41"/>
      <c r="AH124" s="41"/>
      <c r="AI124" s="41"/>
      <c r="AJ124" s="41"/>
      <c r="AK124" s="41"/>
      <c r="BI124" s="41"/>
      <c r="BT124" s="48"/>
      <c r="BU124" s="47"/>
      <c r="CG124" s="48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7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7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</row>
    <row r="125" spans="1:161" x14ac:dyDescent="0.25">
      <c r="A125" s="41"/>
      <c r="AC125" s="41"/>
      <c r="AD125" s="41"/>
      <c r="AE125" s="41"/>
      <c r="AF125" s="41"/>
      <c r="AG125" s="41"/>
      <c r="AH125" s="41"/>
      <c r="AI125" s="41"/>
      <c r="AJ125" s="41"/>
      <c r="AK125" s="41"/>
      <c r="BI125" s="41"/>
      <c r="BT125" s="48"/>
      <c r="BU125" s="47"/>
      <c r="CG125" s="48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7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7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</row>
    <row r="126" spans="1:161" x14ac:dyDescent="0.25">
      <c r="A126" s="41"/>
      <c r="AC126" s="41"/>
      <c r="AD126" s="41"/>
      <c r="AE126" s="41"/>
      <c r="AF126" s="41"/>
      <c r="AG126" s="41"/>
      <c r="AH126" s="41"/>
      <c r="AI126" s="41"/>
      <c r="AJ126" s="41"/>
      <c r="AK126" s="41"/>
      <c r="BI126" s="41"/>
      <c r="BT126" s="48"/>
      <c r="BU126" s="47"/>
      <c r="CG126" s="48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7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7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</row>
    <row r="127" spans="1:161" x14ac:dyDescent="0.25">
      <c r="A127" s="41"/>
      <c r="AC127" s="41"/>
      <c r="AD127" s="41"/>
      <c r="AE127" s="41"/>
      <c r="AF127" s="41"/>
      <c r="AG127" s="41"/>
      <c r="AH127" s="41"/>
      <c r="AI127" s="41"/>
      <c r="AJ127" s="41"/>
      <c r="AK127" s="41"/>
      <c r="BI127" s="41"/>
      <c r="BT127" s="48"/>
      <c r="BU127" s="47"/>
      <c r="CG127" s="48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7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7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</row>
    <row r="128" spans="1:161" x14ac:dyDescent="0.25">
      <c r="A128" s="41"/>
      <c r="AC128" s="41"/>
      <c r="AD128" s="41"/>
      <c r="AE128" s="41"/>
      <c r="AF128" s="41"/>
      <c r="AG128" s="41"/>
      <c r="AH128" s="41"/>
      <c r="AI128" s="41"/>
      <c r="AJ128" s="41"/>
      <c r="AK128" s="41"/>
      <c r="BI128" s="41"/>
      <c r="BT128" s="48"/>
      <c r="BU128" s="47"/>
      <c r="CG128" s="48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7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7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</row>
    <row r="129" spans="1:161" x14ac:dyDescent="0.25">
      <c r="A129" s="41"/>
      <c r="AC129" s="41"/>
      <c r="AD129" s="41"/>
      <c r="AE129" s="41"/>
      <c r="AF129" s="41"/>
      <c r="AG129" s="41"/>
      <c r="AH129" s="41"/>
      <c r="AI129" s="41"/>
      <c r="AJ129" s="41"/>
      <c r="AK129" s="41"/>
      <c r="BI129" s="41"/>
      <c r="BT129" s="48"/>
      <c r="BU129" s="47"/>
      <c r="CG129" s="48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7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7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</row>
    <row r="130" spans="1:161" x14ac:dyDescent="0.25">
      <c r="A130" s="41"/>
      <c r="AC130" s="41"/>
      <c r="AD130" s="41"/>
      <c r="AE130" s="41"/>
      <c r="AF130" s="41"/>
      <c r="AG130" s="41"/>
      <c r="AH130" s="41"/>
      <c r="AI130" s="41"/>
      <c r="AJ130" s="41"/>
      <c r="AK130" s="41"/>
      <c r="BI130" s="41"/>
      <c r="BT130" s="48"/>
      <c r="BU130" s="47"/>
      <c r="CG130" s="48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7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7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</row>
    <row r="131" spans="1:161" x14ac:dyDescent="0.25">
      <c r="A131" s="41"/>
      <c r="AC131" s="41"/>
      <c r="AD131" s="41"/>
      <c r="AE131" s="41"/>
      <c r="AF131" s="41"/>
      <c r="AG131" s="41"/>
      <c r="AH131" s="41"/>
      <c r="AI131" s="41"/>
      <c r="AJ131" s="41"/>
      <c r="AK131" s="41"/>
      <c r="BI131" s="41"/>
      <c r="BT131" s="48"/>
      <c r="BU131" s="47"/>
      <c r="CG131" s="48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7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7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</row>
    <row r="132" spans="1:161" x14ac:dyDescent="0.25">
      <c r="A132" s="41"/>
      <c r="AC132" s="41"/>
      <c r="AD132" s="41"/>
      <c r="AE132" s="41"/>
      <c r="AF132" s="41"/>
      <c r="AG132" s="41"/>
      <c r="AH132" s="41"/>
      <c r="AI132" s="41"/>
      <c r="AJ132" s="41"/>
      <c r="AK132" s="41"/>
      <c r="BI132" s="41"/>
      <c r="BT132" s="48"/>
      <c r="BU132" s="47"/>
      <c r="CG132" s="48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7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7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</row>
    <row r="133" spans="1:161" x14ac:dyDescent="0.25">
      <c r="A133" s="41"/>
      <c r="AC133" s="41"/>
      <c r="AD133" s="41"/>
      <c r="AE133" s="41"/>
      <c r="AF133" s="41"/>
      <c r="AG133" s="41"/>
      <c r="AH133" s="41"/>
      <c r="AI133" s="41"/>
      <c r="AJ133" s="41"/>
      <c r="AK133" s="41"/>
      <c r="BI133" s="41"/>
      <c r="BT133" s="48"/>
      <c r="BU133" s="47"/>
      <c r="CG133" s="48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7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7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</row>
    <row r="134" spans="1:161" x14ac:dyDescent="0.25">
      <c r="A134" s="41"/>
      <c r="AC134" s="41"/>
      <c r="AD134" s="41"/>
      <c r="AE134" s="41"/>
      <c r="AF134" s="41"/>
      <c r="AG134" s="41"/>
      <c r="AH134" s="41"/>
      <c r="AI134" s="41"/>
      <c r="AJ134" s="41"/>
      <c r="AK134" s="41"/>
      <c r="BI134" s="41"/>
      <c r="BT134" s="48"/>
      <c r="BU134" s="47"/>
      <c r="CG134" s="48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7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7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</row>
    <row r="135" spans="1:161" x14ac:dyDescent="0.25">
      <c r="A135" s="41"/>
      <c r="AC135" s="41"/>
      <c r="AD135" s="41"/>
      <c r="AE135" s="41"/>
      <c r="AF135" s="41"/>
      <c r="AG135" s="41"/>
      <c r="AH135" s="41"/>
      <c r="AI135" s="41"/>
      <c r="AJ135" s="41"/>
      <c r="AK135" s="41"/>
      <c r="BI135" s="41"/>
      <c r="BT135" s="48"/>
      <c r="BU135" s="47"/>
      <c r="CG135" s="48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7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7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</row>
    <row r="136" spans="1:161" x14ac:dyDescent="0.25">
      <c r="A136" s="41"/>
      <c r="AC136" s="41"/>
      <c r="AD136" s="41"/>
      <c r="AE136" s="41"/>
      <c r="AF136" s="41"/>
      <c r="AG136" s="41"/>
      <c r="AH136" s="41"/>
      <c r="AI136" s="41"/>
      <c r="AJ136" s="41"/>
      <c r="AK136" s="41"/>
      <c r="BI136" s="41"/>
      <c r="BT136" s="48"/>
      <c r="BU136" s="47"/>
      <c r="CG136" s="48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7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7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</row>
    <row r="137" spans="1:161" x14ac:dyDescent="0.25">
      <c r="A137" s="41"/>
      <c r="AC137" s="41"/>
      <c r="AD137" s="41"/>
      <c r="AE137" s="41"/>
      <c r="AF137" s="41"/>
      <c r="AG137" s="41"/>
      <c r="AH137" s="41"/>
      <c r="AI137" s="41"/>
      <c r="AJ137" s="41"/>
      <c r="AK137" s="41"/>
      <c r="BI137" s="41"/>
      <c r="BT137" s="48"/>
      <c r="BU137" s="47"/>
      <c r="CG137" s="48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7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7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</row>
    <row r="138" spans="1:161" x14ac:dyDescent="0.25">
      <c r="A138" s="41"/>
      <c r="AC138" s="41"/>
      <c r="AD138" s="41"/>
      <c r="AE138" s="41"/>
      <c r="AF138" s="41"/>
      <c r="AG138" s="41"/>
      <c r="AH138" s="41"/>
      <c r="AI138" s="41"/>
      <c r="AJ138" s="41"/>
      <c r="AK138" s="41"/>
      <c r="BI138" s="41"/>
      <c r="BT138" s="48"/>
      <c r="BU138" s="47"/>
      <c r="CG138" s="48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7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7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</row>
    <row r="139" spans="1:161" x14ac:dyDescent="0.25">
      <c r="A139" s="41"/>
      <c r="AC139" s="41"/>
      <c r="AD139" s="41"/>
      <c r="AE139" s="41"/>
      <c r="AF139" s="41"/>
      <c r="AG139" s="41"/>
      <c r="AH139" s="41"/>
      <c r="AI139" s="41"/>
      <c r="AJ139" s="41"/>
      <c r="AK139" s="41"/>
      <c r="BI139" s="41"/>
      <c r="BT139" s="48"/>
      <c r="BU139" s="47"/>
      <c r="CG139" s="48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7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7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</row>
    <row r="140" spans="1:161" x14ac:dyDescent="0.25">
      <c r="A140" s="41"/>
      <c r="AC140" s="41"/>
      <c r="AD140" s="41"/>
      <c r="AE140" s="41"/>
      <c r="AF140" s="41"/>
      <c r="AG140" s="41"/>
      <c r="AH140" s="41"/>
      <c r="AI140" s="41"/>
      <c r="AJ140" s="41"/>
      <c r="AK140" s="41"/>
      <c r="BI140" s="41"/>
      <c r="BT140" s="48"/>
      <c r="BU140" s="47"/>
      <c r="CG140" s="48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7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7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</row>
    <row r="141" spans="1:161" x14ac:dyDescent="0.25">
      <c r="A141" s="41"/>
      <c r="AC141" s="41"/>
      <c r="AD141" s="41"/>
      <c r="AE141" s="41"/>
      <c r="AF141" s="41"/>
      <c r="AG141" s="41"/>
      <c r="AH141" s="41"/>
      <c r="AI141" s="41"/>
      <c r="AJ141" s="41"/>
      <c r="AK141" s="41"/>
      <c r="BI141" s="41"/>
      <c r="BT141" s="48"/>
      <c r="BU141" s="47"/>
      <c r="CG141" s="48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7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7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</row>
    <row r="142" spans="1:161" x14ac:dyDescent="0.25">
      <c r="A142" s="41"/>
      <c r="AC142" s="41"/>
      <c r="AD142" s="41"/>
      <c r="AE142" s="41"/>
      <c r="AF142" s="41"/>
      <c r="AG142" s="41"/>
      <c r="AH142" s="41"/>
      <c r="AI142" s="41"/>
      <c r="AJ142" s="41"/>
      <c r="AK142" s="41"/>
      <c r="BI142" s="41"/>
      <c r="BT142" s="48"/>
      <c r="BU142" s="47"/>
      <c r="CG142" s="48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7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7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</row>
    <row r="143" spans="1:161" x14ac:dyDescent="0.25">
      <c r="A143" s="41"/>
      <c r="AC143" s="41"/>
      <c r="AD143" s="41"/>
      <c r="AE143" s="41"/>
      <c r="AF143" s="41"/>
      <c r="AG143" s="41"/>
      <c r="AH143" s="41"/>
      <c r="AI143" s="41"/>
      <c r="AJ143" s="41"/>
      <c r="AK143" s="41"/>
      <c r="BI143" s="41"/>
      <c r="BT143" s="48"/>
      <c r="BU143" s="47"/>
      <c r="CG143" s="48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7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7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</row>
    <row r="144" spans="1:161" x14ac:dyDescent="0.25">
      <c r="A144" s="41"/>
      <c r="AC144" s="41"/>
      <c r="AD144" s="41"/>
      <c r="AE144" s="41"/>
      <c r="AF144" s="41"/>
      <c r="AG144" s="41"/>
      <c r="AH144" s="41"/>
      <c r="AI144" s="41"/>
      <c r="AJ144" s="41"/>
      <c r="AK144" s="41"/>
      <c r="BI144" s="41"/>
      <c r="BT144" s="48"/>
      <c r="BU144" s="47"/>
      <c r="CG144" s="48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7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7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</row>
    <row r="145" spans="1:161" x14ac:dyDescent="0.25">
      <c r="A145" s="41"/>
      <c r="AC145" s="41"/>
      <c r="AD145" s="41"/>
      <c r="AE145" s="41"/>
      <c r="AF145" s="41"/>
      <c r="AG145" s="41"/>
      <c r="AH145" s="41"/>
      <c r="AI145" s="41"/>
      <c r="AJ145" s="41"/>
      <c r="AK145" s="41"/>
      <c r="BI145" s="41"/>
      <c r="BT145" s="48"/>
      <c r="BU145" s="47"/>
      <c r="CG145" s="48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7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7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</row>
    <row r="146" spans="1:161" x14ac:dyDescent="0.25">
      <c r="A146" s="41"/>
      <c r="AC146" s="41"/>
      <c r="AD146" s="41"/>
      <c r="AE146" s="41"/>
      <c r="AF146" s="41"/>
      <c r="AG146" s="41"/>
      <c r="AH146" s="41"/>
      <c r="AI146" s="41"/>
      <c r="AJ146" s="41"/>
      <c r="AK146" s="41"/>
      <c r="BI146" s="41"/>
      <c r="BT146" s="48"/>
      <c r="BU146" s="47"/>
      <c r="CG146" s="48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7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7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</row>
    <row r="147" spans="1:161" x14ac:dyDescent="0.25">
      <c r="A147" s="41"/>
      <c r="AC147" s="41"/>
      <c r="AD147" s="41"/>
      <c r="AE147" s="41"/>
      <c r="AF147" s="41"/>
      <c r="AG147" s="41"/>
      <c r="AH147" s="41"/>
      <c r="AI147" s="41"/>
      <c r="AJ147" s="41"/>
      <c r="AK147" s="41"/>
      <c r="BI147" s="41"/>
      <c r="BT147" s="48"/>
      <c r="BU147" s="47"/>
      <c r="CG147" s="48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7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7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</row>
    <row r="148" spans="1:161" x14ac:dyDescent="0.25">
      <c r="A148" s="41"/>
      <c r="AC148" s="41"/>
      <c r="AD148" s="41"/>
      <c r="AE148" s="41"/>
      <c r="AF148" s="41"/>
      <c r="AG148" s="41"/>
      <c r="AH148" s="41"/>
      <c r="AI148" s="41"/>
      <c r="AJ148" s="41"/>
      <c r="AK148" s="41"/>
      <c r="BI148" s="41"/>
      <c r="BT148" s="48"/>
      <c r="BU148" s="47"/>
      <c r="CG148" s="48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7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7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</row>
    <row r="149" spans="1:161" x14ac:dyDescent="0.25">
      <c r="A149" s="41"/>
      <c r="AC149" s="41"/>
      <c r="AD149" s="41"/>
      <c r="AE149" s="41"/>
      <c r="AF149" s="41"/>
      <c r="AG149" s="41"/>
      <c r="AH149" s="41"/>
      <c r="AI149" s="41"/>
      <c r="AJ149" s="41"/>
      <c r="AK149" s="41"/>
      <c r="BI149" s="41"/>
      <c r="BT149" s="48"/>
      <c r="BU149" s="47"/>
      <c r="CG149" s="48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7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7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</row>
    <row r="150" spans="1:161" x14ac:dyDescent="0.25">
      <c r="A150" s="41"/>
      <c r="AC150" s="41"/>
      <c r="AD150" s="41"/>
      <c r="AE150" s="41"/>
      <c r="AF150" s="41"/>
      <c r="AG150" s="41"/>
      <c r="AH150" s="41"/>
      <c r="AI150" s="41"/>
      <c r="AJ150" s="41"/>
      <c r="AK150" s="41"/>
      <c r="BI150" s="41"/>
      <c r="BT150" s="48"/>
      <c r="BU150" s="47"/>
      <c r="CG150" s="48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7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7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</row>
    <row r="151" spans="1:161" x14ac:dyDescent="0.25">
      <c r="A151" s="41"/>
      <c r="AC151" s="41"/>
      <c r="AD151" s="41"/>
      <c r="AE151" s="41"/>
      <c r="AF151" s="41"/>
      <c r="AG151" s="41"/>
      <c r="AH151" s="41"/>
      <c r="AI151" s="41"/>
      <c r="AJ151" s="41"/>
      <c r="AK151" s="41"/>
      <c r="BI151" s="41"/>
      <c r="BT151" s="48"/>
      <c r="BU151" s="47"/>
      <c r="CG151" s="48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7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7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</row>
    <row r="152" spans="1:161" x14ac:dyDescent="0.25">
      <c r="A152" s="41"/>
      <c r="AC152" s="41"/>
      <c r="AD152" s="41"/>
      <c r="AE152" s="41"/>
      <c r="AF152" s="41"/>
      <c r="AG152" s="41"/>
      <c r="AH152" s="41"/>
      <c r="AI152" s="41"/>
      <c r="AJ152" s="41"/>
      <c r="AK152" s="41"/>
      <c r="BI152" s="41"/>
      <c r="BT152" s="48"/>
      <c r="BU152" s="47"/>
      <c r="CG152" s="48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7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7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</row>
    <row r="153" spans="1:161" x14ac:dyDescent="0.25">
      <c r="A153" s="41"/>
      <c r="AC153" s="41"/>
      <c r="AD153" s="41"/>
      <c r="AE153" s="41"/>
      <c r="AF153" s="41"/>
      <c r="AG153" s="41"/>
      <c r="AH153" s="41"/>
      <c r="AI153" s="41"/>
      <c r="AJ153" s="41"/>
      <c r="AK153" s="41"/>
      <c r="BI153" s="41"/>
      <c r="BT153" s="48"/>
      <c r="BU153" s="47"/>
      <c r="CG153" s="48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7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7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</row>
    <row r="154" spans="1:161" x14ac:dyDescent="0.25">
      <c r="A154" s="41"/>
      <c r="AC154" s="41"/>
      <c r="AD154" s="41"/>
      <c r="AE154" s="41"/>
      <c r="AF154" s="41"/>
      <c r="AG154" s="41"/>
      <c r="AH154" s="41"/>
      <c r="AI154" s="41"/>
      <c r="AJ154" s="41"/>
      <c r="AK154" s="41"/>
      <c r="BI154" s="41"/>
      <c r="BT154" s="48"/>
      <c r="BU154" s="47"/>
      <c r="CG154" s="48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7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7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</row>
    <row r="155" spans="1:161" x14ac:dyDescent="0.25">
      <c r="A155" s="41"/>
      <c r="AC155" s="41"/>
      <c r="AD155" s="41"/>
      <c r="AE155" s="41"/>
      <c r="AF155" s="41"/>
      <c r="AG155" s="41"/>
      <c r="AH155" s="41"/>
      <c r="AI155" s="41"/>
      <c r="AJ155" s="41"/>
      <c r="AK155" s="41"/>
      <c r="BI155" s="41"/>
      <c r="BT155" s="48"/>
      <c r="BU155" s="47"/>
      <c r="CG155" s="48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7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7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</row>
    <row r="156" spans="1:161" x14ac:dyDescent="0.25">
      <c r="A156" s="41"/>
      <c r="AC156" s="41"/>
      <c r="AD156" s="41"/>
      <c r="AE156" s="41"/>
      <c r="AF156" s="41"/>
      <c r="AG156" s="41"/>
      <c r="AH156" s="41"/>
      <c r="AI156" s="41"/>
      <c r="AJ156" s="41"/>
      <c r="AK156" s="41"/>
      <c r="BI156" s="41"/>
      <c r="BT156" s="48"/>
      <c r="BU156" s="47"/>
      <c r="CG156" s="48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7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7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</row>
    <row r="157" spans="1:161" x14ac:dyDescent="0.25">
      <c r="A157" s="41"/>
      <c r="AC157" s="41"/>
      <c r="AD157" s="41"/>
      <c r="AE157" s="41"/>
      <c r="AF157" s="41"/>
      <c r="AG157" s="41"/>
      <c r="AH157" s="41"/>
      <c r="AI157" s="41"/>
      <c r="AJ157" s="41"/>
      <c r="AK157" s="41"/>
      <c r="BI157" s="41"/>
      <c r="BT157" s="48"/>
      <c r="BU157" s="47"/>
      <c r="CG157" s="48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7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7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</row>
    <row r="158" spans="1:161" x14ac:dyDescent="0.25">
      <c r="A158" s="41"/>
      <c r="AC158" s="41"/>
      <c r="AD158" s="41"/>
      <c r="AE158" s="41"/>
      <c r="AF158" s="41"/>
      <c r="AG158" s="41"/>
      <c r="AH158" s="41"/>
      <c r="AI158" s="41"/>
      <c r="AJ158" s="41"/>
      <c r="AK158" s="41"/>
      <c r="BI158" s="41"/>
      <c r="BT158" s="48"/>
      <c r="BU158" s="47"/>
      <c r="CG158" s="48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7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7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</row>
    <row r="159" spans="1:161" x14ac:dyDescent="0.25">
      <c r="A159" s="41"/>
      <c r="AC159" s="41"/>
      <c r="AD159" s="41"/>
      <c r="AE159" s="41"/>
      <c r="AF159" s="41"/>
      <c r="AG159" s="41"/>
      <c r="AH159" s="41"/>
      <c r="AI159" s="41"/>
      <c r="AJ159" s="41"/>
      <c r="AK159" s="41"/>
      <c r="BI159" s="41"/>
      <c r="BT159" s="48"/>
      <c r="BU159" s="47"/>
      <c r="CG159" s="48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7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7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</row>
    <row r="160" spans="1:161" x14ac:dyDescent="0.25">
      <c r="A160" s="41"/>
      <c r="AC160" s="41"/>
      <c r="AD160" s="41"/>
      <c r="AE160" s="41"/>
      <c r="AF160" s="41"/>
      <c r="AG160" s="41"/>
      <c r="AH160" s="41"/>
      <c r="AI160" s="41"/>
      <c r="AJ160" s="41"/>
      <c r="AK160" s="41"/>
      <c r="BI160" s="41"/>
      <c r="BT160" s="48"/>
      <c r="BU160" s="47"/>
      <c r="CG160" s="48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7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7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</row>
    <row r="161" spans="1:161" x14ac:dyDescent="0.25">
      <c r="A161" s="41"/>
      <c r="AC161" s="41"/>
      <c r="AD161" s="41"/>
      <c r="AE161" s="41"/>
      <c r="AF161" s="41"/>
      <c r="AG161" s="41"/>
      <c r="AH161" s="41"/>
      <c r="AI161" s="41"/>
      <c r="AJ161" s="41"/>
      <c r="AK161" s="41"/>
      <c r="BI161" s="41"/>
      <c r="BT161" s="48"/>
      <c r="BU161" s="47"/>
      <c r="CG161" s="48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7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7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</row>
    <row r="162" spans="1:161" x14ac:dyDescent="0.25">
      <c r="A162" s="41"/>
      <c r="AC162" s="41"/>
      <c r="AD162" s="41"/>
      <c r="AE162" s="41"/>
      <c r="AF162" s="41"/>
      <c r="AG162" s="41"/>
      <c r="AH162" s="41"/>
      <c r="AI162" s="41"/>
      <c r="AJ162" s="41"/>
      <c r="AK162" s="41"/>
      <c r="BI162" s="41"/>
      <c r="BT162" s="48"/>
      <c r="BU162" s="47"/>
      <c r="CG162" s="48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7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7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</row>
    <row r="163" spans="1:161" x14ac:dyDescent="0.25">
      <c r="A163" s="41"/>
      <c r="AC163" s="41"/>
      <c r="AD163" s="41"/>
      <c r="AE163" s="41"/>
      <c r="AF163" s="41"/>
      <c r="AG163" s="41"/>
      <c r="AH163" s="41"/>
      <c r="AI163" s="41"/>
      <c r="AJ163" s="41"/>
      <c r="AK163" s="41"/>
      <c r="BI163" s="41"/>
      <c r="BT163" s="48"/>
      <c r="BU163" s="47"/>
      <c r="CG163" s="48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7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7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</row>
    <row r="164" spans="1:161" x14ac:dyDescent="0.25">
      <c r="A164" s="41"/>
      <c r="AC164" s="41"/>
      <c r="AD164" s="41"/>
      <c r="AE164" s="41"/>
      <c r="AF164" s="41"/>
      <c r="AG164" s="41"/>
      <c r="AH164" s="41"/>
      <c r="AI164" s="41"/>
      <c r="AJ164" s="41"/>
      <c r="AK164" s="41"/>
      <c r="BI164" s="41"/>
      <c r="BT164" s="48"/>
      <c r="BU164" s="47"/>
      <c r="CG164" s="48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7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7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</row>
    <row r="165" spans="1:161" x14ac:dyDescent="0.25">
      <c r="A165" s="41"/>
      <c r="AC165" s="41"/>
      <c r="AD165" s="41"/>
      <c r="AE165" s="41"/>
      <c r="AF165" s="41"/>
      <c r="AG165" s="41"/>
      <c r="AH165" s="41"/>
      <c r="AI165" s="41"/>
      <c r="AJ165" s="41"/>
      <c r="AK165" s="41"/>
      <c r="BI165" s="41"/>
      <c r="BT165" s="48"/>
      <c r="BU165" s="47"/>
      <c r="CG165" s="48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7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7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</row>
    <row r="166" spans="1:161" x14ac:dyDescent="0.25">
      <c r="A166" s="41"/>
      <c r="AC166" s="41"/>
      <c r="AD166" s="41"/>
      <c r="AE166" s="41"/>
      <c r="AF166" s="41"/>
      <c r="AG166" s="41"/>
      <c r="AH166" s="41"/>
      <c r="AI166" s="41"/>
      <c r="AJ166" s="41"/>
      <c r="AK166" s="41"/>
      <c r="BI166" s="41"/>
      <c r="BT166" s="48"/>
      <c r="BU166" s="47"/>
      <c r="CG166" s="48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7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7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</row>
    <row r="167" spans="1:161" x14ac:dyDescent="0.25">
      <c r="A167" s="41"/>
      <c r="AC167" s="41"/>
      <c r="AD167" s="41"/>
      <c r="AE167" s="41"/>
      <c r="AF167" s="41"/>
      <c r="AG167" s="41"/>
      <c r="AH167" s="41"/>
      <c r="AI167" s="41"/>
      <c r="AJ167" s="41"/>
      <c r="AK167" s="41"/>
      <c r="BI167" s="41"/>
      <c r="BT167" s="48"/>
      <c r="BU167" s="47"/>
      <c r="CG167" s="48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7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7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</row>
    <row r="168" spans="1:161" x14ac:dyDescent="0.25">
      <c r="A168" s="41"/>
      <c r="AC168" s="41"/>
      <c r="AD168" s="41"/>
      <c r="AE168" s="41"/>
      <c r="AF168" s="41"/>
      <c r="AG168" s="41"/>
      <c r="AH168" s="41"/>
      <c r="AI168" s="41"/>
      <c r="AJ168" s="41"/>
      <c r="AK168" s="41"/>
      <c r="BI168" s="41"/>
      <c r="BT168" s="48"/>
      <c r="BU168" s="47"/>
      <c r="CG168" s="48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7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7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</row>
    <row r="169" spans="1:161" x14ac:dyDescent="0.25">
      <c r="A169" s="41"/>
      <c r="AC169" s="41"/>
      <c r="AD169" s="41"/>
      <c r="AE169" s="41"/>
      <c r="AF169" s="41"/>
      <c r="AG169" s="41"/>
      <c r="AH169" s="41"/>
      <c r="AI169" s="41"/>
      <c r="AJ169" s="41"/>
      <c r="AK169" s="41"/>
      <c r="BI169" s="41"/>
      <c r="BT169" s="48"/>
      <c r="BU169" s="47"/>
      <c r="CG169" s="48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7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7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</row>
    <row r="170" spans="1:161" x14ac:dyDescent="0.25">
      <c r="A170" s="41"/>
      <c r="AC170" s="41"/>
      <c r="AD170" s="41"/>
      <c r="AE170" s="41"/>
      <c r="AF170" s="41"/>
      <c r="AG170" s="41"/>
      <c r="AH170" s="41"/>
      <c r="AI170" s="41"/>
      <c r="AJ170" s="41"/>
      <c r="AK170" s="41"/>
      <c r="BI170" s="41"/>
      <c r="BT170" s="48"/>
      <c r="BU170" s="47"/>
      <c r="CG170" s="48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7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7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</row>
    <row r="171" spans="1:161" x14ac:dyDescent="0.25">
      <c r="A171" s="41"/>
      <c r="AC171" s="41"/>
      <c r="AD171" s="41"/>
      <c r="AE171" s="41"/>
      <c r="AF171" s="41"/>
      <c r="AG171" s="41"/>
      <c r="AH171" s="41"/>
      <c r="AI171" s="41"/>
      <c r="AJ171" s="41"/>
      <c r="AK171" s="41"/>
      <c r="BI171" s="41"/>
      <c r="BT171" s="48"/>
      <c r="BU171" s="47"/>
      <c r="CG171" s="48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7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7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</row>
    <row r="172" spans="1:161" x14ac:dyDescent="0.25">
      <c r="A172" s="41"/>
      <c r="AC172" s="41"/>
      <c r="AD172" s="41"/>
      <c r="AE172" s="41"/>
      <c r="AF172" s="41"/>
      <c r="AG172" s="41"/>
      <c r="AH172" s="41"/>
      <c r="AI172" s="41"/>
      <c r="AJ172" s="41"/>
      <c r="AK172" s="41"/>
      <c r="BI172" s="41"/>
      <c r="BT172" s="48"/>
      <c r="BU172" s="47"/>
      <c r="CG172" s="48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7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7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</row>
    <row r="173" spans="1:161" x14ac:dyDescent="0.25">
      <c r="A173" s="41"/>
      <c r="AC173" s="41"/>
      <c r="AD173" s="41"/>
      <c r="AE173" s="41"/>
      <c r="AF173" s="41"/>
      <c r="AG173" s="41"/>
      <c r="AH173" s="41"/>
      <c r="AI173" s="41"/>
      <c r="AJ173" s="41"/>
      <c r="AK173" s="41"/>
      <c r="BI173" s="41"/>
      <c r="BT173" s="48"/>
      <c r="BU173" s="47"/>
      <c r="CG173" s="48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7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7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</row>
    <row r="174" spans="1:161" x14ac:dyDescent="0.25">
      <c r="A174" s="41"/>
      <c r="AC174" s="41"/>
      <c r="AD174" s="41"/>
      <c r="AE174" s="41"/>
      <c r="AF174" s="41"/>
      <c r="AG174" s="41"/>
      <c r="AH174" s="41"/>
      <c r="AI174" s="41"/>
      <c r="AJ174" s="41"/>
      <c r="AK174" s="41"/>
      <c r="BI174" s="41"/>
      <c r="BT174" s="48"/>
      <c r="BU174" s="47"/>
      <c r="CG174" s="48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7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7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</row>
    <row r="175" spans="1:161" x14ac:dyDescent="0.25">
      <c r="A175" s="41"/>
      <c r="AC175" s="41"/>
      <c r="AD175" s="41"/>
      <c r="AE175" s="41"/>
      <c r="AF175" s="41"/>
      <c r="AG175" s="41"/>
      <c r="AH175" s="41"/>
      <c r="AI175" s="41"/>
      <c r="AJ175" s="41"/>
      <c r="AK175" s="41"/>
      <c r="BI175" s="41"/>
      <c r="BT175" s="48"/>
      <c r="BU175" s="47"/>
      <c r="CG175" s="48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7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7"/>
      <c r="EP175" s="41"/>
      <c r="EQ175" s="41"/>
      <c r="ER175" s="41"/>
      <c r="ES175" s="41"/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1"/>
      <c r="FE175" s="41"/>
    </row>
    <row r="176" spans="1:161" x14ac:dyDescent="0.25">
      <c r="A176" s="41"/>
      <c r="AC176" s="41"/>
      <c r="AD176" s="41"/>
      <c r="AE176" s="41"/>
      <c r="AF176" s="41"/>
      <c r="AG176" s="41"/>
      <c r="AH176" s="41"/>
      <c r="AI176" s="41"/>
      <c r="AJ176" s="41"/>
      <c r="AK176" s="41"/>
      <c r="BI176" s="41"/>
      <c r="BT176" s="48"/>
      <c r="BU176" s="47"/>
      <c r="CG176" s="48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7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7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</row>
    <row r="177" spans="1:161" x14ac:dyDescent="0.25">
      <c r="A177" s="41"/>
      <c r="AC177" s="41"/>
      <c r="AD177" s="41"/>
      <c r="AE177" s="41"/>
      <c r="AF177" s="41"/>
      <c r="AG177" s="41"/>
      <c r="AH177" s="41"/>
      <c r="AI177" s="41"/>
      <c r="AJ177" s="41"/>
      <c r="AK177" s="41"/>
      <c r="BI177" s="41"/>
      <c r="BT177" s="48"/>
      <c r="BU177" s="47"/>
      <c r="CG177" s="48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7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7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</row>
    <row r="178" spans="1:161" x14ac:dyDescent="0.25">
      <c r="A178" s="41"/>
      <c r="AC178" s="41"/>
      <c r="AD178" s="41"/>
      <c r="AE178" s="41"/>
      <c r="AF178" s="41"/>
      <c r="AG178" s="41"/>
      <c r="AH178" s="41"/>
      <c r="AI178" s="41"/>
      <c r="AJ178" s="41"/>
      <c r="AK178" s="41"/>
      <c r="BI178" s="41"/>
      <c r="BT178" s="48"/>
      <c r="BU178" s="47"/>
      <c r="CG178" s="48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7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7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</row>
    <row r="179" spans="1:161" x14ac:dyDescent="0.25">
      <c r="A179" s="41"/>
      <c r="AC179" s="41"/>
      <c r="AD179" s="41"/>
      <c r="AE179" s="41"/>
      <c r="AF179" s="41"/>
      <c r="AG179" s="41"/>
      <c r="AH179" s="41"/>
      <c r="AI179" s="41"/>
      <c r="AJ179" s="41"/>
      <c r="AK179" s="41"/>
      <c r="BI179" s="41"/>
      <c r="BT179" s="48"/>
      <c r="BU179" s="47"/>
      <c r="CG179" s="48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7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7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</row>
    <row r="180" spans="1:161" x14ac:dyDescent="0.25">
      <c r="A180" s="41"/>
      <c r="AC180" s="41"/>
      <c r="AD180" s="41"/>
      <c r="AE180" s="41"/>
      <c r="AF180" s="41"/>
      <c r="AG180" s="41"/>
      <c r="AH180" s="41"/>
      <c r="AI180" s="41"/>
      <c r="AJ180" s="41"/>
      <c r="AK180" s="41"/>
      <c r="BI180" s="41"/>
      <c r="BT180" s="48"/>
      <c r="BU180" s="47"/>
      <c r="CG180" s="48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7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7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</row>
    <row r="181" spans="1:161" x14ac:dyDescent="0.25">
      <c r="A181" s="41"/>
      <c r="AC181" s="41"/>
      <c r="AD181" s="41"/>
      <c r="AE181" s="41"/>
      <c r="AF181" s="41"/>
      <c r="AG181" s="41"/>
      <c r="AH181" s="41"/>
      <c r="AI181" s="41"/>
      <c r="AJ181" s="41"/>
      <c r="AK181" s="41"/>
      <c r="BI181" s="41"/>
      <c r="BT181" s="48"/>
      <c r="BU181" s="47"/>
      <c r="CG181" s="48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7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7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</row>
    <row r="182" spans="1:161" x14ac:dyDescent="0.25">
      <c r="A182" s="41"/>
      <c r="AC182" s="41"/>
      <c r="AD182" s="41"/>
      <c r="AE182" s="41"/>
      <c r="AF182" s="41"/>
      <c r="AG182" s="41"/>
      <c r="AH182" s="41"/>
      <c r="AI182" s="41"/>
      <c r="AJ182" s="41"/>
      <c r="AK182" s="41"/>
      <c r="BI182" s="41"/>
      <c r="BT182" s="48"/>
      <c r="BU182" s="47"/>
      <c r="CG182" s="48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7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7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</row>
    <row r="183" spans="1:161" x14ac:dyDescent="0.25">
      <c r="A183" s="41"/>
      <c r="AC183" s="41"/>
      <c r="AD183" s="41"/>
      <c r="AE183" s="41"/>
      <c r="AF183" s="41"/>
      <c r="AG183" s="41"/>
      <c r="AH183" s="41"/>
      <c r="AI183" s="41"/>
      <c r="AJ183" s="41"/>
      <c r="AK183" s="41"/>
      <c r="BI183" s="41"/>
      <c r="BT183" s="48"/>
      <c r="BU183" s="47"/>
      <c r="CG183" s="48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7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7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</row>
    <row r="184" spans="1:161" x14ac:dyDescent="0.25">
      <c r="A184" s="41"/>
      <c r="AC184" s="41"/>
      <c r="AD184" s="41"/>
      <c r="AE184" s="41"/>
      <c r="AF184" s="41"/>
      <c r="AG184" s="41"/>
      <c r="AH184" s="41"/>
      <c r="AI184" s="41"/>
      <c r="AJ184" s="41"/>
      <c r="AK184" s="41"/>
      <c r="BI184" s="41"/>
      <c r="BT184" s="48"/>
      <c r="BU184" s="47"/>
      <c r="CG184" s="48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7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7"/>
      <c r="EP184" s="41"/>
      <c r="EQ184" s="41"/>
      <c r="ER184" s="41"/>
      <c r="ES184" s="41"/>
      <c r="ET184" s="41"/>
      <c r="EU184" s="41"/>
      <c r="EV184" s="41"/>
      <c r="EW184" s="41"/>
      <c r="EX184" s="41"/>
      <c r="EY184" s="41"/>
      <c r="EZ184" s="41"/>
      <c r="FA184" s="41"/>
      <c r="FB184" s="41"/>
      <c r="FC184" s="41"/>
      <c r="FD184" s="41"/>
      <c r="FE184" s="41"/>
    </row>
    <row r="185" spans="1:161" x14ac:dyDescent="0.25">
      <c r="A185" s="41"/>
      <c r="AC185" s="41"/>
      <c r="AD185" s="41"/>
      <c r="AE185" s="41"/>
      <c r="AF185" s="41"/>
      <c r="AG185" s="41"/>
      <c r="AH185" s="41"/>
      <c r="AI185" s="41"/>
      <c r="AJ185" s="41"/>
      <c r="AK185" s="41"/>
      <c r="BI185" s="41"/>
      <c r="BT185" s="48"/>
      <c r="BU185" s="47"/>
      <c r="CG185" s="48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7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7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</row>
    <row r="186" spans="1:161" x14ac:dyDescent="0.25">
      <c r="A186" s="41"/>
      <c r="AC186" s="41"/>
      <c r="AD186" s="41"/>
      <c r="AE186" s="41"/>
      <c r="AF186" s="41"/>
      <c r="AG186" s="41"/>
      <c r="AH186" s="41"/>
      <c r="AI186" s="41"/>
      <c r="AJ186" s="41"/>
      <c r="AK186" s="41"/>
      <c r="BI186" s="41"/>
      <c r="BT186" s="48"/>
      <c r="BU186" s="47"/>
      <c r="CG186" s="48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7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7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</row>
    <row r="187" spans="1:161" x14ac:dyDescent="0.25">
      <c r="A187" s="41"/>
      <c r="AC187" s="41"/>
      <c r="AD187" s="41"/>
      <c r="AE187" s="41"/>
      <c r="AF187" s="41"/>
      <c r="AG187" s="41"/>
      <c r="AH187" s="41"/>
      <c r="AI187" s="41"/>
      <c r="AJ187" s="41"/>
      <c r="AK187" s="41"/>
      <c r="BI187" s="41"/>
      <c r="BT187" s="48"/>
      <c r="BU187" s="47"/>
      <c r="CG187" s="48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7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7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</row>
    <row r="188" spans="1:161" x14ac:dyDescent="0.25">
      <c r="A188" s="41"/>
      <c r="AC188" s="41"/>
      <c r="AD188" s="41"/>
      <c r="AE188" s="41"/>
      <c r="AF188" s="41"/>
      <c r="AG188" s="41"/>
      <c r="AH188" s="41"/>
      <c r="AI188" s="41"/>
      <c r="AJ188" s="41"/>
      <c r="AK188" s="41"/>
      <c r="BI188" s="41"/>
      <c r="BT188" s="48"/>
      <c r="BU188" s="47"/>
      <c r="CG188" s="48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7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7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  <c r="FB188" s="41"/>
      <c r="FC188" s="41"/>
      <c r="FD188" s="41"/>
      <c r="FE188" s="41"/>
    </row>
    <row r="189" spans="1:161" x14ac:dyDescent="0.25">
      <c r="A189" s="41"/>
      <c r="AC189" s="41"/>
      <c r="AD189" s="41"/>
      <c r="AE189" s="41"/>
      <c r="AF189" s="41"/>
      <c r="AG189" s="41"/>
      <c r="AH189" s="41"/>
      <c r="AI189" s="41"/>
      <c r="AJ189" s="41"/>
      <c r="AK189" s="41"/>
      <c r="BI189" s="41"/>
      <c r="BT189" s="48"/>
      <c r="BU189" s="47"/>
      <c r="CG189" s="48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7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7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</row>
    <row r="190" spans="1:161" x14ac:dyDescent="0.25">
      <c r="A190" s="41"/>
      <c r="AC190" s="41"/>
      <c r="AD190" s="41"/>
      <c r="AE190" s="41"/>
      <c r="AF190" s="41"/>
      <c r="AG190" s="41"/>
      <c r="AH190" s="41"/>
      <c r="AI190" s="41"/>
      <c r="AJ190" s="41"/>
      <c r="AK190" s="41"/>
      <c r="BI190" s="41"/>
      <c r="BT190" s="48"/>
      <c r="BU190" s="47"/>
      <c r="CG190" s="48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7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7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</row>
    <row r="191" spans="1:161" x14ac:dyDescent="0.25">
      <c r="A191" s="41"/>
      <c r="AC191" s="41"/>
      <c r="AD191" s="41"/>
      <c r="AE191" s="41"/>
      <c r="AF191" s="41"/>
      <c r="AG191" s="41"/>
      <c r="AH191" s="41"/>
      <c r="AI191" s="41"/>
      <c r="AJ191" s="41"/>
      <c r="AK191" s="41"/>
      <c r="BI191" s="41"/>
      <c r="BT191" s="48"/>
      <c r="BU191" s="47"/>
      <c r="CG191" s="48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7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7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</row>
    <row r="192" spans="1:161" x14ac:dyDescent="0.25">
      <c r="A192" s="41"/>
      <c r="AC192" s="41"/>
      <c r="AD192" s="41"/>
      <c r="AE192" s="41"/>
      <c r="AF192" s="41"/>
      <c r="AG192" s="41"/>
      <c r="AH192" s="41"/>
      <c r="AI192" s="41"/>
      <c r="AJ192" s="41"/>
      <c r="AK192" s="41"/>
      <c r="BI192" s="41"/>
      <c r="BT192" s="48"/>
      <c r="BU192" s="47"/>
      <c r="CG192" s="48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7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7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</row>
    <row r="193" spans="1:161" x14ac:dyDescent="0.25">
      <c r="A193" s="41"/>
      <c r="AC193" s="41"/>
      <c r="AD193" s="41"/>
      <c r="AE193" s="41"/>
      <c r="AF193" s="41"/>
      <c r="AG193" s="41"/>
      <c r="AH193" s="41"/>
      <c r="AI193" s="41"/>
      <c r="AJ193" s="41"/>
      <c r="AK193" s="41"/>
      <c r="BI193" s="41"/>
      <c r="BT193" s="48"/>
      <c r="BU193" s="47"/>
      <c r="CG193" s="48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7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7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</row>
    <row r="194" spans="1:161" x14ac:dyDescent="0.25">
      <c r="A194" s="41"/>
      <c r="AC194" s="41"/>
      <c r="AD194" s="41"/>
      <c r="AE194" s="41"/>
      <c r="AF194" s="41"/>
      <c r="AG194" s="41"/>
      <c r="AH194" s="41"/>
      <c r="AI194" s="41"/>
      <c r="AJ194" s="41"/>
      <c r="AK194" s="41"/>
      <c r="BI194" s="41"/>
      <c r="BT194" s="48"/>
      <c r="BU194" s="47"/>
      <c r="CG194" s="48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7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7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</row>
    <row r="195" spans="1:161" x14ac:dyDescent="0.25">
      <c r="A195" s="41"/>
      <c r="AC195" s="41"/>
      <c r="AD195" s="41"/>
      <c r="AE195" s="41"/>
      <c r="AF195" s="41"/>
      <c r="AG195" s="41"/>
      <c r="AH195" s="41"/>
      <c r="AI195" s="41"/>
      <c r="AJ195" s="41"/>
      <c r="AK195" s="41"/>
      <c r="BI195" s="41"/>
      <c r="BT195" s="48"/>
      <c r="BU195" s="47"/>
      <c r="CG195" s="48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7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7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</row>
    <row r="196" spans="1:161" x14ac:dyDescent="0.25">
      <c r="A196" s="41"/>
      <c r="AC196" s="41"/>
      <c r="AD196" s="41"/>
      <c r="AE196" s="41"/>
      <c r="AF196" s="41"/>
      <c r="AG196" s="41"/>
      <c r="AH196" s="41"/>
      <c r="AI196" s="41"/>
      <c r="AJ196" s="41"/>
      <c r="AK196" s="41"/>
      <c r="BI196" s="41"/>
      <c r="BT196" s="48"/>
      <c r="BU196" s="47"/>
      <c r="CG196" s="48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7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7"/>
      <c r="EP196" s="41"/>
      <c r="EQ196" s="41"/>
      <c r="ER196" s="41"/>
      <c r="ES196" s="41"/>
      <c r="ET196" s="41"/>
      <c r="EU196" s="41"/>
      <c r="EV196" s="41"/>
      <c r="EW196" s="41"/>
      <c r="EX196" s="41"/>
      <c r="EY196" s="41"/>
      <c r="EZ196" s="41"/>
      <c r="FA196" s="41"/>
      <c r="FB196" s="41"/>
      <c r="FC196" s="41"/>
      <c r="FD196" s="41"/>
      <c r="FE196" s="41"/>
    </row>
    <row r="197" spans="1:161" x14ac:dyDescent="0.25">
      <c r="A197" s="41"/>
      <c r="AC197" s="41"/>
      <c r="AD197" s="41"/>
      <c r="AE197" s="41"/>
      <c r="AF197" s="41"/>
      <c r="AG197" s="41"/>
      <c r="AH197" s="41"/>
      <c r="AI197" s="41"/>
      <c r="AJ197" s="41"/>
      <c r="AK197" s="41"/>
      <c r="BI197" s="41"/>
      <c r="BT197" s="48"/>
      <c r="BU197" s="47"/>
      <c r="CG197" s="48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7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7"/>
      <c r="EP197" s="41"/>
      <c r="EQ197" s="41"/>
      <c r="ER197" s="41"/>
      <c r="ES197" s="41"/>
      <c r="ET197" s="41"/>
      <c r="EU197" s="41"/>
      <c r="EV197" s="41"/>
      <c r="EW197" s="41"/>
      <c r="EX197" s="41"/>
      <c r="EY197" s="41"/>
      <c r="EZ197" s="41"/>
      <c r="FA197" s="41"/>
      <c r="FB197" s="41"/>
      <c r="FC197" s="41"/>
      <c r="FD197" s="41"/>
      <c r="FE197" s="41"/>
    </row>
    <row r="198" spans="1:161" x14ac:dyDescent="0.25">
      <c r="A198" s="41"/>
      <c r="AC198" s="41"/>
      <c r="AD198" s="41"/>
      <c r="AE198" s="41"/>
      <c r="AF198" s="41"/>
      <c r="AG198" s="41"/>
      <c r="AH198" s="41"/>
      <c r="AI198" s="41"/>
      <c r="AJ198" s="41"/>
      <c r="AK198" s="41"/>
      <c r="BI198" s="41"/>
      <c r="BT198" s="48"/>
      <c r="BU198" s="47"/>
      <c r="CG198" s="48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7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7"/>
      <c r="EP198" s="41"/>
      <c r="EQ198" s="41"/>
      <c r="ER198" s="41"/>
      <c r="ES198" s="41"/>
      <c r="ET198" s="41"/>
      <c r="EU198" s="41"/>
      <c r="EV198" s="41"/>
      <c r="EW198" s="41"/>
      <c r="EX198" s="41"/>
      <c r="EY198" s="41"/>
      <c r="EZ198" s="41"/>
      <c r="FA198" s="41"/>
      <c r="FB198" s="41"/>
      <c r="FC198" s="41"/>
      <c r="FD198" s="41"/>
      <c r="FE198" s="41"/>
    </row>
    <row r="199" spans="1:161" x14ac:dyDescent="0.25">
      <c r="A199" s="41"/>
      <c r="AC199" s="41"/>
      <c r="AD199" s="41"/>
      <c r="AE199" s="41"/>
      <c r="AF199" s="41"/>
      <c r="AG199" s="41"/>
      <c r="AH199" s="41"/>
      <c r="AI199" s="41"/>
      <c r="AJ199" s="41"/>
      <c r="AK199" s="41"/>
      <c r="BI199" s="41"/>
      <c r="BT199" s="48"/>
      <c r="BU199" s="47"/>
      <c r="CG199" s="48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7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7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  <c r="FB199" s="41"/>
      <c r="FC199" s="41"/>
      <c r="FD199" s="41"/>
      <c r="FE199" s="41"/>
    </row>
    <row r="200" spans="1:161" x14ac:dyDescent="0.25">
      <c r="A200" s="41"/>
      <c r="AC200" s="41"/>
      <c r="AD200" s="41"/>
      <c r="AE200" s="41"/>
      <c r="AF200" s="41"/>
      <c r="AG200" s="41"/>
      <c r="AH200" s="41"/>
      <c r="AI200" s="41"/>
      <c r="AJ200" s="41"/>
      <c r="AK200" s="41"/>
      <c r="BI200" s="41"/>
      <c r="BT200" s="48"/>
      <c r="BU200" s="47"/>
      <c r="CG200" s="48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7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  <c r="EO200" s="47"/>
      <c r="EP200" s="41"/>
      <c r="EQ200" s="41"/>
      <c r="ER200" s="41"/>
      <c r="ES200" s="41"/>
      <c r="ET200" s="41"/>
      <c r="EU200" s="41"/>
      <c r="EV200" s="41"/>
      <c r="EW200" s="41"/>
      <c r="EX200" s="41"/>
      <c r="EY200" s="41"/>
      <c r="EZ200" s="41"/>
      <c r="FA200" s="41"/>
      <c r="FB200" s="41"/>
      <c r="FC200" s="41"/>
      <c r="FD200" s="41"/>
      <c r="FE200" s="41"/>
    </row>
    <row r="201" spans="1:161" x14ac:dyDescent="0.25">
      <c r="A201" s="41"/>
      <c r="AC201" s="41"/>
      <c r="AD201" s="41"/>
      <c r="AE201" s="41"/>
      <c r="AF201" s="41"/>
      <c r="AG201" s="41"/>
      <c r="AH201" s="41"/>
      <c r="AI201" s="41"/>
      <c r="AJ201" s="41"/>
      <c r="AK201" s="41"/>
      <c r="BI201" s="41"/>
      <c r="BT201" s="48"/>
      <c r="BU201" s="47"/>
      <c r="CG201" s="48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7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  <c r="EL201" s="41"/>
      <c r="EM201" s="41"/>
      <c r="EN201" s="41"/>
      <c r="EO201" s="47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  <c r="FB201" s="41"/>
      <c r="FC201" s="41"/>
      <c r="FD201" s="41"/>
      <c r="FE201" s="41"/>
    </row>
    <row r="202" spans="1:161" x14ac:dyDescent="0.25">
      <c r="A202" s="41"/>
      <c r="AC202" s="41"/>
      <c r="AD202" s="41"/>
      <c r="AE202" s="41"/>
      <c r="AF202" s="41"/>
      <c r="AG202" s="41"/>
      <c r="AH202" s="41"/>
      <c r="AI202" s="41"/>
      <c r="AJ202" s="41"/>
      <c r="AK202" s="41"/>
      <c r="BI202" s="41"/>
      <c r="BT202" s="48"/>
      <c r="BU202" s="47"/>
      <c r="CG202" s="48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7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7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</row>
    <row r="203" spans="1:161" x14ac:dyDescent="0.25">
      <c r="A203" s="41"/>
      <c r="AC203" s="41"/>
      <c r="AD203" s="41"/>
      <c r="AE203" s="41"/>
      <c r="AF203" s="41"/>
      <c r="AG203" s="41"/>
      <c r="AH203" s="41"/>
      <c r="AI203" s="41"/>
      <c r="AJ203" s="41"/>
      <c r="AK203" s="41"/>
      <c r="BI203" s="41"/>
      <c r="BT203" s="48"/>
      <c r="BU203" s="47"/>
      <c r="CG203" s="48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7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  <c r="EL203" s="41"/>
      <c r="EM203" s="41"/>
      <c r="EN203" s="41"/>
      <c r="EO203" s="47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  <c r="FB203" s="41"/>
      <c r="FC203" s="41"/>
      <c r="FD203" s="41"/>
      <c r="FE203" s="41"/>
    </row>
    <row r="204" spans="1:161" x14ac:dyDescent="0.25">
      <c r="A204" s="41"/>
      <c r="AC204" s="41"/>
      <c r="AD204" s="41"/>
      <c r="AE204" s="41"/>
      <c r="AF204" s="41"/>
      <c r="AG204" s="41"/>
      <c r="AH204" s="41"/>
      <c r="AI204" s="41"/>
      <c r="AJ204" s="41"/>
      <c r="AK204" s="41"/>
      <c r="BI204" s="41"/>
      <c r="BT204" s="48"/>
      <c r="BU204" s="47"/>
      <c r="CG204" s="48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7"/>
      <c r="DQ204" s="41"/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/>
      <c r="EL204" s="41"/>
      <c r="EM204" s="41"/>
      <c r="EN204" s="41"/>
      <c r="EO204" s="47"/>
      <c r="EP204" s="41"/>
      <c r="EQ204" s="41"/>
      <c r="ER204" s="41"/>
      <c r="ES204" s="41"/>
      <c r="ET204" s="41"/>
      <c r="EU204" s="41"/>
      <c r="EV204" s="41"/>
      <c r="EW204" s="41"/>
      <c r="EX204" s="41"/>
      <c r="EY204" s="41"/>
      <c r="EZ204" s="41"/>
      <c r="FA204" s="41"/>
      <c r="FB204" s="41"/>
      <c r="FC204" s="41"/>
      <c r="FD204" s="41"/>
      <c r="FE204" s="41"/>
    </row>
    <row r="205" spans="1:161" x14ac:dyDescent="0.25">
      <c r="A205" s="41"/>
      <c r="AC205" s="41"/>
      <c r="AD205" s="41"/>
      <c r="AE205" s="41"/>
      <c r="AF205" s="41"/>
      <c r="AG205" s="41"/>
      <c r="AH205" s="41"/>
      <c r="AI205" s="41"/>
      <c r="AJ205" s="41"/>
      <c r="AK205" s="41"/>
      <c r="BI205" s="41"/>
      <c r="BT205" s="48"/>
      <c r="BU205" s="47"/>
      <c r="CG205" s="48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7"/>
      <c r="DQ205" s="41"/>
      <c r="DR205" s="41"/>
      <c r="DS205" s="41"/>
      <c r="DT205" s="4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41"/>
      <c r="EK205" s="41"/>
      <c r="EL205" s="41"/>
      <c r="EM205" s="41"/>
      <c r="EN205" s="41"/>
      <c r="EO205" s="47"/>
      <c r="EP205" s="41"/>
      <c r="EQ205" s="41"/>
      <c r="ER205" s="41"/>
      <c r="ES205" s="41"/>
      <c r="ET205" s="41"/>
      <c r="EU205" s="41"/>
      <c r="EV205" s="41"/>
      <c r="EW205" s="41"/>
      <c r="EX205" s="41"/>
      <c r="EY205" s="41"/>
      <c r="EZ205" s="41"/>
      <c r="FA205" s="41"/>
      <c r="FB205" s="41"/>
      <c r="FC205" s="41"/>
      <c r="FD205" s="41"/>
      <c r="FE205" s="41"/>
    </row>
    <row r="206" spans="1:161" x14ac:dyDescent="0.25">
      <c r="A206" s="41"/>
      <c r="AC206" s="41"/>
      <c r="AD206" s="41"/>
      <c r="AE206" s="41"/>
      <c r="AF206" s="41"/>
      <c r="AG206" s="41"/>
      <c r="AH206" s="41"/>
      <c r="AI206" s="41"/>
      <c r="AJ206" s="41"/>
      <c r="AK206" s="41"/>
      <c r="BI206" s="41"/>
      <c r="BT206" s="48"/>
      <c r="BU206" s="47"/>
      <c r="CG206" s="48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7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7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1"/>
      <c r="FC206" s="41"/>
      <c r="FD206" s="41"/>
      <c r="FE206" s="41"/>
    </row>
    <row r="207" spans="1:161" x14ac:dyDescent="0.25">
      <c r="A207" s="41"/>
      <c r="AC207" s="41"/>
      <c r="AD207" s="41"/>
      <c r="AE207" s="41"/>
      <c r="AF207" s="41"/>
      <c r="AG207" s="41"/>
      <c r="AH207" s="41"/>
      <c r="AI207" s="41"/>
      <c r="AJ207" s="41"/>
      <c r="AK207" s="41"/>
      <c r="BI207" s="41"/>
      <c r="BT207" s="48"/>
      <c r="BU207" s="47"/>
      <c r="CG207" s="48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7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7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  <c r="FB207" s="41"/>
      <c r="FC207" s="41"/>
      <c r="FD207" s="41"/>
      <c r="FE207" s="41"/>
    </row>
    <row r="208" spans="1:161" x14ac:dyDescent="0.25">
      <c r="A208" s="41"/>
      <c r="AC208" s="41"/>
      <c r="AD208" s="41"/>
      <c r="AE208" s="41"/>
      <c r="AF208" s="41"/>
      <c r="AG208" s="41"/>
      <c r="AH208" s="41"/>
      <c r="AI208" s="41"/>
      <c r="AJ208" s="41"/>
      <c r="AK208" s="41"/>
      <c r="BI208" s="41"/>
      <c r="BT208" s="48"/>
      <c r="BU208" s="47"/>
      <c r="CG208" s="48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7"/>
      <c r="DQ208" s="41"/>
      <c r="DR208" s="41"/>
      <c r="DS208" s="41"/>
      <c r="DT208" s="41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41"/>
      <c r="EI208" s="41"/>
      <c r="EJ208" s="41"/>
      <c r="EK208" s="41"/>
      <c r="EL208" s="41"/>
      <c r="EM208" s="41"/>
      <c r="EN208" s="41"/>
      <c r="EO208" s="47"/>
      <c r="EP208" s="41"/>
      <c r="EQ208" s="41"/>
      <c r="ER208" s="41"/>
      <c r="ES208" s="41"/>
      <c r="ET208" s="41"/>
      <c r="EU208" s="41"/>
      <c r="EV208" s="41"/>
      <c r="EW208" s="41"/>
      <c r="EX208" s="41"/>
      <c r="EY208" s="41"/>
      <c r="EZ208" s="41"/>
      <c r="FA208" s="41"/>
      <c r="FB208" s="41"/>
      <c r="FC208" s="41"/>
      <c r="FD208" s="41"/>
      <c r="FE208" s="41"/>
    </row>
    <row r="209" spans="1:161" x14ac:dyDescent="0.25">
      <c r="A209" s="41"/>
      <c r="AC209" s="41"/>
      <c r="AD209" s="41"/>
      <c r="AE209" s="41"/>
      <c r="AF209" s="41"/>
      <c r="AG209" s="41"/>
      <c r="AH209" s="41"/>
      <c r="AI209" s="41"/>
      <c r="AJ209" s="41"/>
      <c r="AK209" s="41"/>
      <c r="BI209" s="41"/>
      <c r="BT209" s="48"/>
      <c r="BU209" s="47"/>
      <c r="CG209" s="48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7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/>
      <c r="EN209" s="41"/>
      <c r="EO209" s="47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  <c r="FB209" s="41"/>
      <c r="FC209" s="41"/>
      <c r="FD209" s="41"/>
      <c r="FE209" s="41"/>
    </row>
    <row r="210" spans="1:161" x14ac:dyDescent="0.25">
      <c r="A210" s="41"/>
      <c r="AC210" s="41"/>
      <c r="AD210" s="41"/>
      <c r="AE210" s="41"/>
      <c r="AF210" s="41"/>
      <c r="AG210" s="41"/>
      <c r="AH210" s="41"/>
      <c r="AI210" s="41"/>
      <c r="AJ210" s="41"/>
      <c r="AK210" s="41"/>
      <c r="BI210" s="41"/>
      <c r="BT210" s="48"/>
      <c r="BU210" s="47"/>
      <c r="CG210" s="48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7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1"/>
      <c r="EJ210" s="41"/>
      <c r="EK210" s="41"/>
      <c r="EL210" s="41"/>
      <c r="EM210" s="41"/>
      <c r="EN210" s="41"/>
      <c r="EO210" s="47"/>
      <c r="EP210" s="41"/>
      <c r="EQ210" s="41"/>
      <c r="ER210" s="41"/>
      <c r="ES210" s="41"/>
      <c r="ET210" s="41"/>
      <c r="EU210" s="41"/>
      <c r="EV210" s="41"/>
      <c r="EW210" s="41"/>
      <c r="EX210" s="41"/>
      <c r="EY210" s="41"/>
      <c r="EZ210" s="41"/>
      <c r="FA210" s="41"/>
      <c r="FB210" s="41"/>
      <c r="FC210" s="41"/>
      <c r="FD210" s="41"/>
      <c r="FE210" s="41"/>
    </row>
    <row r="211" spans="1:161" x14ac:dyDescent="0.25">
      <c r="A211" s="41"/>
      <c r="AC211" s="41"/>
      <c r="AD211" s="41"/>
      <c r="AE211" s="41"/>
      <c r="AF211" s="41"/>
      <c r="AG211" s="41"/>
      <c r="AH211" s="41"/>
      <c r="AI211" s="41"/>
      <c r="AJ211" s="41"/>
      <c r="AK211" s="41"/>
      <c r="BI211" s="41"/>
      <c r="BT211" s="48"/>
      <c r="BU211" s="47"/>
      <c r="CG211" s="48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7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7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</row>
    <row r="212" spans="1:161" x14ac:dyDescent="0.25">
      <c r="A212" s="41"/>
      <c r="AC212" s="41"/>
      <c r="AD212" s="41"/>
      <c r="AE212" s="41"/>
      <c r="AF212" s="41"/>
      <c r="AG212" s="41"/>
      <c r="AH212" s="41"/>
      <c r="AI212" s="41"/>
      <c r="AJ212" s="41"/>
      <c r="AK212" s="41"/>
      <c r="BI212" s="41"/>
      <c r="BT212" s="48"/>
      <c r="BU212" s="47"/>
      <c r="CG212" s="48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7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  <c r="EL212" s="41"/>
      <c r="EM212" s="41"/>
      <c r="EN212" s="41"/>
      <c r="EO212" s="47"/>
      <c r="EP212" s="41"/>
      <c r="EQ212" s="41"/>
      <c r="ER212" s="41"/>
      <c r="ES212" s="41"/>
      <c r="ET212" s="41"/>
      <c r="EU212" s="41"/>
      <c r="EV212" s="41"/>
      <c r="EW212" s="41"/>
      <c r="EX212" s="41"/>
      <c r="EY212" s="41"/>
      <c r="EZ212" s="41"/>
      <c r="FA212" s="41"/>
      <c r="FB212" s="41"/>
      <c r="FC212" s="41"/>
      <c r="FD212" s="41"/>
      <c r="FE212" s="41"/>
    </row>
    <row r="213" spans="1:161" x14ac:dyDescent="0.25">
      <c r="A213" s="41"/>
      <c r="AC213" s="41"/>
      <c r="AD213" s="41"/>
      <c r="AE213" s="41"/>
      <c r="AF213" s="41"/>
      <c r="AG213" s="41"/>
      <c r="AH213" s="41"/>
      <c r="AI213" s="41"/>
      <c r="AJ213" s="41"/>
      <c r="AK213" s="41"/>
      <c r="BI213" s="41"/>
      <c r="BT213" s="48"/>
      <c r="BU213" s="47"/>
      <c r="CG213" s="48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7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7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</row>
    <row r="214" spans="1:161" x14ac:dyDescent="0.25">
      <c r="A214" s="41"/>
      <c r="AC214" s="41"/>
      <c r="AD214" s="41"/>
      <c r="AE214" s="41"/>
      <c r="AF214" s="41"/>
      <c r="AG214" s="41"/>
      <c r="AH214" s="41"/>
      <c r="AI214" s="41"/>
      <c r="AJ214" s="41"/>
      <c r="AK214" s="41"/>
      <c r="BI214" s="41"/>
      <c r="BT214" s="48"/>
      <c r="BU214" s="47"/>
      <c r="CG214" s="48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7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7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</row>
    <row r="215" spans="1:161" x14ac:dyDescent="0.25">
      <c r="A215" s="41"/>
      <c r="AC215" s="41"/>
      <c r="AD215" s="41"/>
      <c r="AE215" s="41"/>
      <c r="AF215" s="41"/>
      <c r="AG215" s="41"/>
      <c r="AH215" s="41"/>
      <c r="AI215" s="41"/>
      <c r="AJ215" s="41"/>
      <c r="AK215" s="41"/>
      <c r="BI215" s="41"/>
      <c r="BT215" s="48"/>
      <c r="BU215" s="47"/>
      <c r="CG215" s="48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7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7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</row>
    <row r="216" spans="1:161" x14ac:dyDescent="0.25">
      <c r="A216" s="41"/>
      <c r="AC216" s="41"/>
      <c r="AD216" s="41"/>
      <c r="AE216" s="41"/>
      <c r="AF216" s="41"/>
      <c r="AG216" s="41"/>
      <c r="AH216" s="41"/>
      <c r="AI216" s="41"/>
      <c r="AJ216" s="41"/>
      <c r="AK216" s="41"/>
      <c r="BI216" s="41"/>
      <c r="BT216" s="48"/>
      <c r="BU216" s="47"/>
      <c r="CG216" s="48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7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7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</row>
    <row r="217" spans="1:161" x14ac:dyDescent="0.25">
      <c r="A217" s="41"/>
      <c r="AC217" s="41"/>
      <c r="AD217" s="41"/>
      <c r="AE217" s="41"/>
      <c r="AF217" s="41"/>
      <c r="AG217" s="41"/>
      <c r="AH217" s="41"/>
      <c r="AI217" s="41"/>
      <c r="AJ217" s="41"/>
      <c r="AK217" s="41"/>
      <c r="BI217" s="41"/>
      <c r="BT217" s="48"/>
      <c r="BU217" s="47"/>
      <c r="CG217" s="48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7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/>
      <c r="EN217" s="41"/>
      <c r="EO217" s="47"/>
      <c r="EP217" s="41"/>
      <c r="EQ217" s="41"/>
      <c r="ER217" s="41"/>
      <c r="ES217" s="41"/>
      <c r="ET217" s="41"/>
      <c r="EU217" s="41"/>
      <c r="EV217" s="41"/>
      <c r="EW217" s="41"/>
      <c r="EX217" s="41"/>
      <c r="EY217" s="41"/>
      <c r="EZ217" s="41"/>
      <c r="FA217" s="41"/>
      <c r="FB217" s="41"/>
      <c r="FC217" s="41"/>
      <c r="FD217" s="41"/>
      <c r="FE217" s="41"/>
    </row>
    <row r="218" spans="1:161" x14ac:dyDescent="0.25">
      <c r="A218" s="41"/>
      <c r="AC218" s="41"/>
      <c r="AD218" s="41"/>
      <c r="AE218" s="41"/>
      <c r="AF218" s="41"/>
      <c r="AG218" s="41"/>
      <c r="AH218" s="41"/>
      <c r="AI218" s="41"/>
      <c r="AJ218" s="41"/>
      <c r="AK218" s="41"/>
      <c r="BI218" s="41"/>
      <c r="BT218" s="48"/>
      <c r="BU218" s="47"/>
      <c r="CG218" s="48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7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  <c r="EO218" s="47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</row>
    <row r="219" spans="1:161" x14ac:dyDescent="0.25">
      <c r="A219" s="41"/>
      <c r="AC219" s="41"/>
      <c r="AD219" s="41"/>
      <c r="AE219" s="41"/>
      <c r="AF219" s="41"/>
      <c r="AG219" s="41"/>
      <c r="AH219" s="41"/>
      <c r="AI219" s="41"/>
      <c r="AJ219" s="41"/>
      <c r="AK219" s="41"/>
      <c r="BI219" s="41"/>
      <c r="BT219" s="48"/>
      <c r="BU219" s="47"/>
      <c r="CG219" s="48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7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/>
      <c r="EN219" s="41"/>
      <c r="EO219" s="47"/>
      <c r="EP219" s="41"/>
      <c r="EQ219" s="41"/>
      <c r="ER219" s="41"/>
      <c r="ES219" s="41"/>
      <c r="ET219" s="41"/>
      <c r="EU219" s="41"/>
      <c r="EV219" s="41"/>
      <c r="EW219" s="41"/>
      <c r="EX219" s="41"/>
      <c r="EY219" s="41"/>
      <c r="EZ219" s="41"/>
      <c r="FA219" s="41"/>
      <c r="FB219" s="41"/>
      <c r="FC219" s="41"/>
      <c r="FD219" s="41"/>
      <c r="FE219" s="41"/>
    </row>
    <row r="220" spans="1:161" x14ac:dyDescent="0.25">
      <c r="A220" s="41"/>
      <c r="AC220" s="41"/>
      <c r="AD220" s="41"/>
      <c r="AE220" s="41"/>
      <c r="AF220" s="41"/>
      <c r="AG220" s="41"/>
      <c r="AH220" s="41"/>
      <c r="AI220" s="41"/>
      <c r="AJ220" s="41"/>
      <c r="AK220" s="41"/>
      <c r="BI220" s="41"/>
      <c r="BT220" s="48"/>
      <c r="BU220" s="47"/>
      <c r="CG220" s="48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7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  <c r="EO220" s="47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</row>
    <row r="221" spans="1:161" x14ac:dyDescent="0.25">
      <c r="A221" s="41"/>
      <c r="AC221" s="41"/>
      <c r="AD221" s="41"/>
      <c r="AE221" s="41"/>
      <c r="AF221" s="41"/>
      <c r="AG221" s="41"/>
      <c r="AH221" s="41"/>
      <c r="AI221" s="41"/>
      <c r="AJ221" s="41"/>
      <c r="AK221" s="41"/>
      <c r="BI221" s="41"/>
      <c r="BT221" s="48"/>
      <c r="BU221" s="47"/>
      <c r="CG221" s="48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7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  <c r="EO221" s="47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</row>
    <row r="222" spans="1:161" x14ac:dyDescent="0.25">
      <c r="A222" s="41"/>
      <c r="AC222" s="41"/>
      <c r="AD222" s="41"/>
      <c r="AE222" s="41"/>
      <c r="AF222" s="41"/>
      <c r="AG222" s="41"/>
      <c r="AH222" s="41"/>
      <c r="AI222" s="41"/>
      <c r="AJ222" s="41"/>
      <c r="AK222" s="41"/>
      <c r="BI222" s="41"/>
      <c r="BT222" s="48"/>
      <c r="BU222" s="47"/>
      <c r="CG222" s="48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7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  <c r="EO222" s="47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  <c r="FB222" s="41"/>
      <c r="FC222" s="41"/>
      <c r="FD222" s="41"/>
      <c r="FE222" s="41"/>
    </row>
    <row r="223" spans="1:161" x14ac:dyDescent="0.25">
      <c r="A223" s="41"/>
      <c r="AC223" s="41"/>
      <c r="AD223" s="41"/>
      <c r="AE223" s="41"/>
      <c r="AF223" s="41"/>
      <c r="AG223" s="41"/>
      <c r="AH223" s="41"/>
      <c r="AI223" s="41"/>
      <c r="AJ223" s="41"/>
      <c r="AK223" s="41"/>
      <c r="BI223" s="41"/>
      <c r="BT223" s="48"/>
      <c r="BU223" s="47"/>
      <c r="CG223" s="48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7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  <c r="EO223" s="47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  <c r="FB223" s="41"/>
      <c r="FC223" s="41"/>
      <c r="FD223" s="41"/>
      <c r="FE223" s="41"/>
    </row>
    <row r="224" spans="1:161" x14ac:dyDescent="0.25">
      <c r="A224" s="41"/>
      <c r="AC224" s="41"/>
      <c r="AD224" s="41"/>
      <c r="AE224" s="41"/>
      <c r="AF224" s="41"/>
      <c r="AG224" s="41"/>
      <c r="AH224" s="41"/>
      <c r="AI224" s="41"/>
      <c r="AJ224" s="41"/>
      <c r="AK224" s="41"/>
      <c r="BI224" s="41"/>
      <c r="BT224" s="48"/>
      <c r="BU224" s="47"/>
      <c r="CG224" s="48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7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/>
      <c r="EN224" s="41"/>
      <c r="EO224" s="47"/>
      <c r="EP224" s="41"/>
      <c r="EQ224" s="41"/>
      <c r="ER224" s="41"/>
      <c r="ES224" s="41"/>
      <c r="ET224" s="41"/>
      <c r="EU224" s="41"/>
      <c r="EV224" s="41"/>
      <c r="EW224" s="41"/>
      <c r="EX224" s="41"/>
      <c r="EY224" s="41"/>
      <c r="EZ224" s="41"/>
      <c r="FA224" s="41"/>
      <c r="FB224" s="41"/>
      <c r="FC224" s="41"/>
      <c r="FD224" s="41"/>
      <c r="FE224" s="41"/>
    </row>
    <row r="225" spans="1:161" x14ac:dyDescent="0.25">
      <c r="A225" s="41"/>
      <c r="AC225" s="41"/>
      <c r="AD225" s="41"/>
      <c r="AE225" s="41"/>
      <c r="AF225" s="41"/>
      <c r="AG225" s="41"/>
      <c r="AH225" s="41"/>
      <c r="AI225" s="41"/>
      <c r="AJ225" s="41"/>
      <c r="AK225" s="41"/>
      <c r="BI225" s="41"/>
      <c r="BT225" s="48"/>
      <c r="BU225" s="47"/>
      <c r="CG225" s="48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7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1"/>
      <c r="EL225" s="41"/>
      <c r="EM225" s="41"/>
      <c r="EN225" s="41"/>
      <c r="EO225" s="47"/>
      <c r="EP225" s="41"/>
      <c r="EQ225" s="41"/>
      <c r="ER225" s="41"/>
      <c r="ES225" s="41"/>
      <c r="ET225" s="41"/>
      <c r="EU225" s="41"/>
      <c r="EV225" s="41"/>
      <c r="EW225" s="41"/>
      <c r="EX225" s="41"/>
      <c r="EY225" s="41"/>
      <c r="EZ225" s="41"/>
      <c r="FA225" s="41"/>
      <c r="FB225" s="41"/>
      <c r="FC225" s="41"/>
      <c r="FD225" s="41"/>
      <c r="FE225" s="41"/>
    </row>
    <row r="226" spans="1:161" x14ac:dyDescent="0.25">
      <c r="A226" s="41"/>
      <c r="AC226" s="41"/>
      <c r="AD226" s="41"/>
      <c r="AE226" s="41"/>
      <c r="AF226" s="41"/>
      <c r="AG226" s="41"/>
      <c r="AH226" s="41"/>
      <c r="AI226" s="41"/>
      <c r="AJ226" s="41"/>
      <c r="AK226" s="41"/>
      <c r="BI226" s="41"/>
      <c r="BT226" s="48"/>
      <c r="BU226" s="47"/>
      <c r="CG226" s="48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7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  <c r="EO226" s="47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  <c r="FB226" s="41"/>
      <c r="FC226" s="41"/>
      <c r="FD226" s="41"/>
      <c r="FE226" s="41"/>
    </row>
    <row r="227" spans="1:161" x14ac:dyDescent="0.25">
      <c r="A227" s="41"/>
      <c r="AC227" s="41"/>
      <c r="AD227" s="41"/>
      <c r="AE227" s="41"/>
      <c r="AF227" s="41"/>
      <c r="AG227" s="41"/>
      <c r="AH227" s="41"/>
      <c r="AI227" s="41"/>
      <c r="AJ227" s="41"/>
      <c r="AK227" s="41"/>
      <c r="BI227" s="41"/>
      <c r="BT227" s="48"/>
      <c r="BU227" s="47"/>
      <c r="CG227" s="48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7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  <c r="EO227" s="47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  <c r="FB227" s="41"/>
      <c r="FC227" s="41"/>
      <c r="FD227" s="41"/>
      <c r="FE227" s="41"/>
    </row>
    <row r="228" spans="1:161" x14ac:dyDescent="0.25">
      <c r="A228" s="41"/>
      <c r="AC228" s="41"/>
      <c r="AD228" s="41"/>
      <c r="AE228" s="41"/>
      <c r="AF228" s="41"/>
      <c r="AG228" s="41"/>
      <c r="AH228" s="41"/>
      <c r="AI228" s="41"/>
      <c r="AJ228" s="41"/>
      <c r="AK228" s="41"/>
      <c r="BI228" s="41"/>
      <c r="BT228" s="48"/>
      <c r="BU228" s="47"/>
      <c r="CG228" s="48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7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  <c r="EO228" s="47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  <c r="FB228" s="41"/>
      <c r="FC228" s="41"/>
      <c r="FD228" s="41"/>
      <c r="FE228" s="41"/>
    </row>
    <row r="229" spans="1:161" x14ac:dyDescent="0.25">
      <c r="A229" s="41"/>
      <c r="AC229" s="41"/>
      <c r="AD229" s="41"/>
      <c r="AE229" s="41"/>
      <c r="AF229" s="41"/>
      <c r="AG229" s="41"/>
      <c r="AH229" s="41"/>
      <c r="AI229" s="41"/>
      <c r="AJ229" s="41"/>
      <c r="AK229" s="41"/>
      <c r="BI229" s="41"/>
      <c r="BT229" s="48"/>
      <c r="BU229" s="47"/>
      <c r="CG229" s="48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7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7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</row>
    <row r="230" spans="1:161" x14ac:dyDescent="0.25">
      <c r="A230" s="41"/>
      <c r="AC230" s="41"/>
      <c r="AD230" s="41"/>
      <c r="AE230" s="41"/>
      <c r="AF230" s="41"/>
      <c r="AG230" s="41"/>
      <c r="AH230" s="41"/>
      <c r="AI230" s="41"/>
      <c r="AJ230" s="41"/>
      <c r="AK230" s="41"/>
      <c r="BI230" s="41"/>
      <c r="BT230" s="48"/>
      <c r="BU230" s="47"/>
      <c r="CG230" s="48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7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1"/>
      <c r="EN230" s="41"/>
      <c r="EO230" s="47"/>
      <c r="EP230" s="41"/>
      <c r="EQ230" s="41"/>
      <c r="ER230" s="41"/>
      <c r="ES230" s="41"/>
      <c r="ET230" s="41"/>
      <c r="EU230" s="41"/>
      <c r="EV230" s="41"/>
      <c r="EW230" s="41"/>
      <c r="EX230" s="41"/>
      <c r="EY230" s="41"/>
      <c r="EZ230" s="41"/>
      <c r="FA230" s="41"/>
      <c r="FB230" s="41"/>
      <c r="FC230" s="41"/>
      <c r="FD230" s="41"/>
      <c r="FE230" s="41"/>
    </row>
    <row r="231" spans="1:161" x14ac:dyDescent="0.25">
      <c r="A231" s="41"/>
      <c r="AC231" s="41"/>
      <c r="AD231" s="41"/>
      <c r="AE231" s="41"/>
      <c r="AF231" s="41"/>
      <c r="AG231" s="41"/>
      <c r="AH231" s="41"/>
      <c r="AI231" s="41"/>
      <c r="AJ231" s="41"/>
      <c r="AK231" s="41"/>
      <c r="BI231" s="41"/>
      <c r="BT231" s="48"/>
      <c r="BU231" s="47"/>
      <c r="CG231" s="48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7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7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</row>
    <row r="232" spans="1:161" x14ac:dyDescent="0.25">
      <c r="A232" s="41"/>
      <c r="AC232" s="41"/>
      <c r="AD232" s="41"/>
      <c r="AE232" s="41"/>
      <c r="AF232" s="41"/>
      <c r="AG232" s="41"/>
      <c r="AH232" s="41"/>
      <c r="AI232" s="41"/>
      <c r="AJ232" s="41"/>
      <c r="AK232" s="41"/>
      <c r="BI232" s="41"/>
      <c r="BT232" s="48"/>
      <c r="BU232" s="47"/>
      <c r="CG232" s="48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7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7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</row>
    <row r="233" spans="1:161" x14ac:dyDescent="0.25">
      <c r="A233" s="41"/>
      <c r="AC233" s="41"/>
      <c r="AD233" s="41"/>
      <c r="AE233" s="41"/>
      <c r="AF233" s="41"/>
      <c r="AG233" s="41"/>
      <c r="AH233" s="41"/>
      <c r="AI233" s="41"/>
      <c r="AJ233" s="41"/>
      <c r="AK233" s="41"/>
      <c r="BI233" s="41"/>
      <c r="BT233" s="48"/>
      <c r="BU233" s="47"/>
      <c r="CG233" s="48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7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7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</row>
    <row r="234" spans="1:161" x14ac:dyDescent="0.25">
      <c r="A234" s="41"/>
      <c r="AC234" s="41"/>
      <c r="AD234" s="41"/>
      <c r="AE234" s="41"/>
      <c r="AF234" s="41"/>
      <c r="AG234" s="41"/>
      <c r="AH234" s="41"/>
      <c r="AI234" s="41"/>
      <c r="AJ234" s="41"/>
      <c r="AK234" s="41"/>
      <c r="BI234" s="41"/>
      <c r="BT234" s="48"/>
      <c r="BU234" s="47"/>
      <c r="CG234" s="48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7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7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</row>
    <row r="235" spans="1:161" x14ac:dyDescent="0.25">
      <c r="A235" s="41"/>
      <c r="AC235" s="41"/>
      <c r="AD235" s="41"/>
      <c r="AE235" s="41"/>
      <c r="AF235" s="41"/>
      <c r="AG235" s="41"/>
      <c r="AH235" s="41"/>
      <c r="AI235" s="41"/>
      <c r="AJ235" s="41"/>
      <c r="AK235" s="41"/>
      <c r="BI235" s="41"/>
      <c r="BT235" s="48"/>
      <c r="BU235" s="47"/>
      <c r="CG235" s="48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7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7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</row>
    <row r="236" spans="1:161" x14ac:dyDescent="0.25">
      <c r="A236" s="41"/>
      <c r="AC236" s="41"/>
      <c r="AD236" s="41"/>
      <c r="AE236" s="41"/>
      <c r="AF236" s="41"/>
      <c r="AG236" s="41"/>
      <c r="AH236" s="41"/>
      <c r="AI236" s="41"/>
      <c r="AJ236" s="41"/>
      <c r="AK236" s="41"/>
      <c r="BI236" s="41"/>
      <c r="BT236" s="48"/>
      <c r="BU236" s="47"/>
      <c r="CG236" s="48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7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7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  <c r="FB236" s="41"/>
      <c r="FC236" s="41"/>
      <c r="FD236" s="41"/>
      <c r="FE236" s="41"/>
    </row>
    <row r="237" spans="1:161" x14ac:dyDescent="0.25">
      <c r="A237" s="41"/>
      <c r="AC237" s="41"/>
      <c r="AD237" s="41"/>
      <c r="AE237" s="41"/>
      <c r="AF237" s="41"/>
      <c r="AG237" s="41"/>
      <c r="AH237" s="41"/>
      <c r="AI237" s="41"/>
      <c r="AJ237" s="41"/>
      <c r="AK237" s="41"/>
      <c r="BI237" s="41"/>
      <c r="BT237" s="48"/>
      <c r="BU237" s="47"/>
      <c r="CG237" s="48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7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  <c r="EO237" s="47"/>
      <c r="EP237" s="41"/>
      <c r="EQ237" s="41"/>
      <c r="ER237" s="41"/>
      <c r="ES237" s="41"/>
      <c r="ET237" s="41"/>
      <c r="EU237" s="41"/>
      <c r="EV237" s="41"/>
      <c r="EW237" s="41"/>
      <c r="EX237" s="41"/>
      <c r="EY237" s="41"/>
      <c r="EZ237" s="41"/>
      <c r="FA237" s="41"/>
      <c r="FB237" s="41"/>
      <c r="FC237" s="41"/>
      <c r="FD237" s="41"/>
      <c r="FE237" s="41"/>
    </row>
    <row r="238" spans="1:161" x14ac:dyDescent="0.25">
      <c r="A238" s="41"/>
      <c r="AC238" s="41"/>
      <c r="AD238" s="41"/>
      <c r="AE238" s="41"/>
      <c r="AF238" s="41"/>
      <c r="AG238" s="41"/>
      <c r="AH238" s="41"/>
      <c r="AI238" s="41"/>
      <c r="AJ238" s="41"/>
      <c r="AK238" s="41"/>
      <c r="BI238" s="41"/>
      <c r="BT238" s="48"/>
      <c r="BU238" s="47"/>
      <c r="CG238" s="48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7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  <c r="EO238" s="47"/>
      <c r="EP238" s="41"/>
      <c r="EQ238" s="41"/>
      <c r="ER238" s="41"/>
      <c r="ES238" s="41"/>
      <c r="ET238" s="41"/>
      <c r="EU238" s="41"/>
      <c r="EV238" s="41"/>
      <c r="EW238" s="41"/>
      <c r="EX238" s="41"/>
      <c r="EY238" s="41"/>
      <c r="EZ238" s="41"/>
      <c r="FA238" s="41"/>
      <c r="FB238" s="41"/>
      <c r="FC238" s="41"/>
      <c r="FD238" s="41"/>
      <c r="FE238" s="41"/>
    </row>
    <row r="239" spans="1:161" x14ac:dyDescent="0.25">
      <c r="A239" s="41"/>
      <c r="AC239" s="41"/>
      <c r="AD239" s="41"/>
      <c r="AE239" s="41"/>
      <c r="AF239" s="41"/>
      <c r="AG239" s="41"/>
      <c r="AH239" s="41"/>
      <c r="AI239" s="41"/>
      <c r="AJ239" s="41"/>
      <c r="AK239" s="41"/>
      <c r="BI239" s="41"/>
      <c r="BT239" s="48"/>
      <c r="BU239" s="47"/>
      <c r="CG239" s="48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7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  <c r="EO239" s="47"/>
      <c r="EP239" s="41"/>
      <c r="EQ239" s="41"/>
      <c r="ER239" s="41"/>
      <c r="ES239" s="41"/>
      <c r="ET239" s="41"/>
      <c r="EU239" s="41"/>
      <c r="EV239" s="41"/>
      <c r="EW239" s="41"/>
      <c r="EX239" s="41"/>
      <c r="EY239" s="41"/>
      <c r="EZ239" s="41"/>
      <c r="FA239" s="41"/>
      <c r="FB239" s="41"/>
      <c r="FC239" s="41"/>
      <c r="FD239" s="41"/>
      <c r="FE239" s="41"/>
    </row>
    <row r="240" spans="1:161" x14ac:dyDescent="0.25">
      <c r="A240" s="41"/>
      <c r="AC240" s="41"/>
      <c r="AD240" s="41"/>
      <c r="AE240" s="41"/>
      <c r="AF240" s="41"/>
      <c r="AG240" s="41"/>
      <c r="AH240" s="41"/>
      <c r="AI240" s="41"/>
      <c r="AJ240" s="41"/>
      <c r="AK240" s="41"/>
      <c r="BI240" s="41"/>
      <c r="BT240" s="48"/>
      <c r="BU240" s="47"/>
      <c r="CG240" s="48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7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7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  <c r="FB240" s="41"/>
      <c r="FC240" s="41"/>
      <c r="FD240" s="41"/>
      <c r="FE240" s="41"/>
    </row>
    <row r="241" spans="1:161" x14ac:dyDescent="0.25">
      <c r="A241" s="41"/>
      <c r="AC241" s="41"/>
      <c r="AD241" s="41"/>
      <c r="AE241" s="41"/>
      <c r="AF241" s="41"/>
      <c r="AG241" s="41"/>
      <c r="AH241" s="41"/>
      <c r="AI241" s="41"/>
      <c r="AJ241" s="41"/>
      <c r="AK241" s="41"/>
      <c r="BI241" s="41"/>
      <c r="BT241" s="48"/>
      <c r="BU241" s="47"/>
      <c r="CG241" s="48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7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7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</row>
    <row r="242" spans="1:161" x14ac:dyDescent="0.25">
      <c r="A242" s="41"/>
      <c r="AC242" s="41"/>
      <c r="AD242" s="41"/>
      <c r="AE242" s="41"/>
      <c r="AF242" s="41"/>
      <c r="AG242" s="41"/>
      <c r="AH242" s="41"/>
      <c r="AI242" s="41"/>
      <c r="AJ242" s="41"/>
      <c r="AK242" s="41"/>
      <c r="BI242" s="41"/>
      <c r="BT242" s="48"/>
      <c r="BU242" s="47"/>
      <c r="CG242" s="48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7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7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</row>
    <row r="243" spans="1:161" x14ac:dyDescent="0.25">
      <c r="A243" s="41"/>
      <c r="AC243" s="41"/>
      <c r="AD243" s="41"/>
      <c r="AE243" s="41"/>
      <c r="AF243" s="41"/>
      <c r="AG243" s="41"/>
      <c r="AH243" s="41"/>
      <c r="AI243" s="41"/>
      <c r="AJ243" s="41"/>
      <c r="AK243" s="41"/>
      <c r="BI243" s="41"/>
      <c r="BT243" s="48"/>
      <c r="BU243" s="47"/>
      <c r="CG243" s="48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</row>
    <row r="244" spans="1:161" x14ac:dyDescent="0.25">
      <c r="A244" s="41"/>
      <c r="AC244" s="41"/>
      <c r="AD244" s="41"/>
      <c r="AE244" s="41"/>
      <c r="AF244" s="41"/>
      <c r="AG244" s="41"/>
      <c r="AH244" s="41"/>
      <c r="AI244" s="41"/>
      <c r="AJ244" s="41"/>
      <c r="AK244" s="41"/>
      <c r="BI244" s="41"/>
      <c r="BT244" s="48"/>
      <c r="BU244" s="47"/>
      <c r="CG244" s="48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</row>
    <row r="245" spans="1:161" x14ac:dyDescent="0.25">
      <c r="A245" s="41"/>
      <c r="AC245" s="41"/>
      <c r="AD245" s="41"/>
      <c r="AE245" s="41"/>
      <c r="AF245" s="41"/>
      <c r="AG245" s="41"/>
      <c r="AH245" s="41"/>
      <c r="AI245" s="41"/>
      <c r="AJ245" s="41"/>
      <c r="AK245" s="41"/>
      <c r="BI245" s="41"/>
      <c r="BT245" s="48"/>
      <c r="BU245" s="47"/>
      <c r="CG245" s="48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</row>
    <row r="246" spans="1:161" x14ac:dyDescent="0.25">
      <c r="A246" s="41"/>
      <c r="AC246" s="41"/>
      <c r="AD246" s="41"/>
      <c r="AE246" s="41"/>
      <c r="AF246" s="41"/>
      <c r="AG246" s="41"/>
      <c r="AH246" s="41"/>
      <c r="AI246" s="41"/>
      <c r="AJ246" s="41"/>
      <c r="AK246" s="41"/>
      <c r="BI246" s="41"/>
      <c r="BT246" s="48"/>
      <c r="BU246" s="47"/>
      <c r="CG246" s="48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</row>
    <row r="247" spans="1:161" x14ac:dyDescent="0.25">
      <c r="A247" s="41"/>
      <c r="AC247" s="41"/>
      <c r="AD247" s="41"/>
      <c r="AE247" s="41"/>
      <c r="AF247" s="41"/>
      <c r="AG247" s="41"/>
      <c r="AH247" s="41"/>
      <c r="AI247" s="41"/>
      <c r="AJ247" s="41"/>
      <c r="AK247" s="41"/>
      <c r="BI247" s="41"/>
      <c r="BT247" s="48"/>
      <c r="BU247" s="47"/>
      <c r="CG247" s="48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</row>
    <row r="248" spans="1:161" x14ac:dyDescent="0.25">
      <c r="A248" s="41"/>
      <c r="AC248" s="41"/>
      <c r="AD248" s="41"/>
      <c r="AE248" s="41"/>
      <c r="AF248" s="41"/>
      <c r="AG248" s="41"/>
      <c r="AH248" s="41"/>
      <c r="AI248" s="41"/>
      <c r="AJ248" s="41"/>
      <c r="AK248" s="41"/>
      <c r="BI248" s="41"/>
      <c r="BT248" s="48"/>
      <c r="BU248" s="47"/>
      <c r="CG248" s="48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</row>
    <row r="249" spans="1:161" x14ac:dyDescent="0.25">
      <c r="A249" s="41"/>
      <c r="AC249" s="41"/>
      <c r="AD249" s="41"/>
      <c r="AE249" s="41"/>
      <c r="AF249" s="41"/>
      <c r="AG249" s="41"/>
      <c r="AH249" s="41"/>
      <c r="AI249" s="41"/>
      <c r="AJ249" s="41"/>
      <c r="AK249" s="41"/>
      <c r="BI249" s="41"/>
      <c r="BT249" s="48"/>
      <c r="BU249" s="47"/>
      <c r="CG249" s="48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</row>
    <row r="250" spans="1:161" x14ac:dyDescent="0.25">
      <c r="A250" s="41"/>
      <c r="AC250" s="41"/>
      <c r="AD250" s="41"/>
      <c r="AE250" s="41"/>
      <c r="AF250" s="41"/>
      <c r="AG250" s="41"/>
      <c r="AH250" s="41"/>
      <c r="AI250" s="41"/>
      <c r="AJ250" s="41"/>
      <c r="AK250" s="41"/>
      <c r="BI250" s="41"/>
      <c r="BT250" s="48"/>
      <c r="BU250" s="47"/>
      <c r="CG250" s="48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</row>
    <row r="251" spans="1:161" x14ac:dyDescent="0.25">
      <c r="A251" s="41"/>
      <c r="AC251" s="41"/>
      <c r="AD251" s="41"/>
      <c r="AE251" s="41"/>
      <c r="AF251" s="41"/>
      <c r="AG251" s="41"/>
      <c r="AH251" s="41"/>
      <c r="AI251" s="41"/>
      <c r="AJ251" s="41"/>
      <c r="AK251" s="41"/>
      <c r="BI251" s="41"/>
      <c r="BT251" s="48"/>
      <c r="BU251" s="47"/>
      <c r="CG251" s="48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</row>
    <row r="252" spans="1:161" x14ac:dyDescent="0.25">
      <c r="A252" s="41"/>
      <c r="AC252" s="41"/>
      <c r="AD252" s="41"/>
      <c r="AE252" s="41"/>
      <c r="AF252" s="41"/>
      <c r="AG252" s="41"/>
      <c r="AH252" s="41"/>
      <c r="AI252" s="41"/>
      <c r="AJ252" s="41"/>
      <c r="AK252" s="41"/>
      <c r="BI252" s="41"/>
      <c r="BT252" s="48"/>
      <c r="BU252" s="47"/>
      <c r="CG252" s="48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</row>
    <row r="253" spans="1:161" x14ac:dyDescent="0.25">
      <c r="A253" s="41"/>
      <c r="AC253" s="41"/>
      <c r="AD253" s="41"/>
      <c r="AE253" s="41"/>
      <c r="AF253" s="41"/>
      <c r="AG253" s="41"/>
      <c r="AH253" s="41"/>
      <c r="AI253" s="41"/>
      <c r="AJ253" s="41"/>
      <c r="AK253" s="41"/>
      <c r="BI253" s="41"/>
      <c r="BT253" s="48"/>
      <c r="BU253" s="47"/>
      <c r="CG253" s="48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</row>
    <row r="254" spans="1:161" x14ac:dyDescent="0.25">
      <c r="A254" s="41"/>
      <c r="AC254" s="41"/>
      <c r="AD254" s="41"/>
      <c r="AE254" s="41"/>
      <c r="AF254" s="41"/>
      <c r="AG254" s="41"/>
      <c r="AH254" s="41"/>
      <c r="AI254" s="41"/>
      <c r="AJ254" s="41"/>
      <c r="AK254" s="41"/>
      <c r="BI254" s="41"/>
      <c r="BT254" s="48"/>
      <c r="BU254" s="47"/>
      <c r="CG254" s="48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</row>
    <row r="255" spans="1:161" x14ac:dyDescent="0.25">
      <c r="A255" s="41"/>
      <c r="AC255" s="41"/>
      <c r="AD255" s="41"/>
      <c r="AE255" s="41"/>
      <c r="AF255" s="41"/>
      <c r="AG255" s="41"/>
      <c r="AH255" s="41"/>
      <c r="AI255" s="41"/>
      <c r="AJ255" s="41"/>
      <c r="AK255" s="41"/>
      <c r="BI255" s="41"/>
      <c r="BT255" s="48"/>
      <c r="BU255" s="47"/>
      <c r="CG255" s="48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</row>
    <row r="256" spans="1:161" x14ac:dyDescent="0.25">
      <c r="A256" s="41"/>
      <c r="AC256" s="41"/>
      <c r="AD256" s="41"/>
      <c r="AE256" s="41"/>
      <c r="AF256" s="41"/>
      <c r="AG256" s="41"/>
      <c r="AH256" s="41"/>
      <c r="AI256" s="41"/>
      <c r="AJ256" s="41"/>
      <c r="AK256" s="41"/>
      <c r="BI256" s="41"/>
      <c r="BT256" s="48"/>
      <c r="BU256" s="47"/>
      <c r="CG256" s="48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</row>
    <row r="257" spans="1:161" x14ac:dyDescent="0.25">
      <c r="A257" s="41"/>
      <c r="AC257" s="41"/>
      <c r="AD257" s="41"/>
      <c r="AE257" s="41"/>
      <c r="AF257" s="41"/>
      <c r="AG257" s="41"/>
      <c r="AH257" s="41"/>
      <c r="AI257" s="41"/>
      <c r="AJ257" s="41"/>
      <c r="AK257" s="41"/>
      <c r="BI257" s="41"/>
      <c r="BT257" s="48"/>
      <c r="BU257" s="47"/>
      <c r="CG257" s="48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</row>
    <row r="258" spans="1:161" x14ac:dyDescent="0.25">
      <c r="A258" s="41"/>
      <c r="AC258" s="41"/>
      <c r="AD258" s="41"/>
      <c r="AE258" s="41"/>
      <c r="AF258" s="41"/>
      <c r="AG258" s="41"/>
      <c r="AH258" s="41"/>
      <c r="AI258" s="41"/>
      <c r="AJ258" s="41"/>
      <c r="AK258" s="41"/>
      <c r="BI258" s="41"/>
      <c r="BT258" s="48"/>
      <c r="BU258" s="47"/>
      <c r="CG258" s="48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</row>
    <row r="259" spans="1:161" x14ac:dyDescent="0.25">
      <c r="A259" s="41"/>
      <c r="AC259" s="41"/>
      <c r="AD259" s="41"/>
      <c r="AE259" s="41"/>
      <c r="AF259" s="41"/>
      <c r="AG259" s="41"/>
      <c r="AH259" s="41"/>
      <c r="AI259" s="41"/>
      <c r="AJ259" s="41"/>
      <c r="AK259" s="41"/>
      <c r="BI259" s="41"/>
      <c r="BT259" s="48"/>
      <c r="BU259" s="47"/>
      <c r="CG259" s="48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</row>
    <row r="260" spans="1:161" x14ac:dyDescent="0.25">
      <c r="A260" s="41"/>
      <c r="AC260" s="41"/>
      <c r="AD260" s="41"/>
      <c r="AE260" s="41"/>
      <c r="AF260" s="41"/>
      <c r="AG260" s="41"/>
      <c r="AH260" s="41"/>
      <c r="AI260" s="41"/>
      <c r="AJ260" s="41"/>
      <c r="AK260" s="41"/>
      <c r="BI260" s="41"/>
      <c r="BT260" s="48"/>
      <c r="BU260" s="47"/>
      <c r="CG260" s="48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</row>
    <row r="261" spans="1:161" x14ac:dyDescent="0.25">
      <c r="A261" s="41"/>
      <c r="AC261" s="41"/>
      <c r="AD261" s="41"/>
      <c r="AE261" s="41"/>
      <c r="AF261" s="41"/>
      <c r="AG261" s="41"/>
      <c r="AH261" s="41"/>
      <c r="AI261" s="41"/>
      <c r="AJ261" s="41"/>
      <c r="AK261" s="41"/>
      <c r="BI261" s="41"/>
      <c r="BT261" s="48"/>
      <c r="BU261" s="47"/>
      <c r="CG261" s="48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</row>
    <row r="262" spans="1:161" x14ac:dyDescent="0.25">
      <c r="A262" s="41"/>
      <c r="AC262" s="41"/>
      <c r="AD262" s="41"/>
      <c r="AE262" s="41"/>
      <c r="AF262" s="41"/>
      <c r="AG262" s="41"/>
      <c r="AH262" s="41"/>
      <c r="AI262" s="41"/>
      <c r="AJ262" s="41"/>
      <c r="AK262" s="41"/>
      <c r="BI262" s="41"/>
      <c r="BT262" s="48"/>
      <c r="BU262" s="47"/>
      <c r="CG262" s="48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</row>
    <row r="263" spans="1:161" x14ac:dyDescent="0.25">
      <c r="A263" s="41"/>
      <c r="AC263" s="41"/>
      <c r="AD263" s="41"/>
      <c r="AE263" s="41"/>
      <c r="AF263" s="41"/>
      <c r="AG263" s="41"/>
      <c r="AH263" s="41"/>
      <c r="AI263" s="41"/>
      <c r="AJ263" s="41"/>
      <c r="AK263" s="41"/>
      <c r="BI263" s="41"/>
      <c r="BT263" s="48"/>
      <c r="BU263" s="47"/>
      <c r="CG263" s="48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</row>
    <row r="264" spans="1:161" x14ac:dyDescent="0.25">
      <c r="A264" s="41"/>
      <c r="AC264" s="41"/>
      <c r="AD264" s="41"/>
      <c r="AE264" s="41"/>
      <c r="AF264" s="41"/>
      <c r="AG264" s="41"/>
      <c r="AH264" s="41"/>
      <c r="AI264" s="41"/>
      <c r="AJ264" s="41"/>
      <c r="AK264" s="41"/>
      <c r="BI264" s="41"/>
      <c r="BT264" s="48"/>
      <c r="BU264" s="47"/>
      <c r="CG264" s="48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</row>
    <row r="265" spans="1:161" x14ac:dyDescent="0.25">
      <c r="A265" s="41"/>
      <c r="AC265" s="41"/>
      <c r="AD265" s="41"/>
      <c r="AE265" s="41"/>
      <c r="AF265" s="41"/>
      <c r="AG265" s="41"/>
      <c r="AH265" s="41"/>
      <c r="AI265" s="41"/>
      <c r="AJ265" s="41"/>
      <c r="AK265" s="41"/>
      <c r="BI265" s="41"/>
      <c r="BT265" s="48"/>
      <c r="BU265" s="47"/>
      <c r="CG265" s="48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</row>
    <row r="266" spans="1:161" x14ac:dyDescent="0.25">
      <c r="A266" s="41"/>
      <c r="AC266" s="41"/>
      <c r="AD266" s="41"/>
      <c r="AE266" s="41"/>
      <c r="AF266" s="41"/>
      <c r="AG266" s="41"/>
      <c r="AH266" s="41"/>
      <c r="AI266" s="41"/>
      <c r="AJ266" s="41"/>
      <c r="AK266" s="41"/>
      <c r="BI266" s="41"/>
      <c r="BT266" s="48"/>
      <c r="BU266" s="47"/>
      <c r="CG266" s="48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</row>
    <row r="267" spans="1:161" x14ac:dyDescent="0.25">
      <c r="A267" s="41"/>
      <c r="AC267" s="41"/>
      <c r="AD267" s="41"/>
      <c r="AE267" s="41"/>
      <c r="AF267" s="41"/>
      <c r="AG267" s="41"/>
      <c r="AH267" s="41"/>
      <c r="AI267" s="41"/>
      <c r="AJ267" s="41"/>
      <c r="AK267" s="41"/>
      <c r="BI267" s="41"/>
      <c r="BT267" s="48"/>
      <c r="BU267" s="47"/>
      <c r="CG267" s="48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</row>
    <row r="268" spans="1:161" x14ac:dyDescent="0.25">
      <c r="A268" s="41"/>
      <c r="AC268" s="41"/>
      <c r="AD268" s="41"/>
      <c r="AE268" s="41"/>
      <c r="AF268" s="41"/>
      <c r="AG268" s="41"/>
      <c r="AH268" s="41"/>
      <c r="AI268" s="41"/>
      <c r="AJ268" s="41"/>
      <c r="AK268" s="41"/>
      <c r="BI268" s="41"/>
      <c r="BT268" s="48"/>
      <c r="BU268" s="47"/>
      <c r="CG268" s="48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</row>
    <row r="269" spans="1:161" x14ac:dyDescent="0.25">
      <c r="A269" s="41"/>
      <c r="AC269" s="41"/>
      <c r="AD269" s="41"/>
      <c r="AE269" s="41"/>
      <c r="AF269" s="41"/>
      <c r="AG269" s="41"/>
      <c r="AH269" s="41"/>
      <c r="AI269" s="41"/>
      <c r="AJ269" s="41"/>
      <c r="AK269" s="41"/>
      <c r="BI269" s="41"/>
      <c r="BT269" s="48"/>
      <c r="BU269" s="47"/>
      <c r="CG269" s="48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</row>
    <row r="270" spans="1:161" x14ac:dyDescent="0.25">
      <c r="A270" s="41"/>
      <c r="AC270" s="41"/>
      <c r="AD270" s="41"/>
      <c r="AE270" s="41"/>
      <c r="AF270" s="41"/>
      <c r="AG270" s="41"/>
      <c r="AH270" s="41"/>
      <c r="AI270" s="41"/>
      <c r="AJ270" s="41"/>
      <c r="AK270" s="41"/>
      <c r="BI270" s="41"/>
      <c r="BT270" s="48"/>
      <c r="BU270" s="47"/>
      <c r="CG270" s="48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</row>
    <row r="271" spans="1:161" x14ac:dyDescent="0.25">
      <c r="A271" s="41"/>
      <c r="AC271" s="41"/>
      <c r="AD271" s="41"/>
      <c r="AE271" s="41"/>
      <c r="AF271" s="41"/>
      <c r="AG271" s="41"/>
      <c r="AH271" s="41"/>
      <c r="AI271" s="41"/>
      <c r="AJ271" s="41"/>
      <c r="AK271" s="41"/>
      <c r="BI271" s="41"/>
      <c r="BT271" s="48"/>
      <c r="BU271" s="47"/>
      <c r="CG271" s="48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</row>
    <row r="272" spans="1:161" x14ac:dyDescent="0.25">
      <c r="A272" s="41"/>
      <c r="AC272" s="41"/>
      <c r="AD272" s="41"/>
      <c r="AE272" s="41"/>
      <c r="AF272" s="41"/>
      <c r="AG272" s="41"/>
      <c r="AH272" s="41"/>
      <c r="AI272" s="41"/>
      <c r="AJ272" s="41"/>
      <c r="AK272" s="41"/>
      <c r="BI272" s="41"/>
      <c r="BT272" s="48"/>
      <c r="BU272" s="47"/>
      <c r="CG272" s="48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</row>
    <row r="273" spans="1:161" x14ac:dyDescent="0.25">
      <c r="A273" s="41"/>
      <c r="AC273" s="41"/>
      <c r="AD273" s="41"/>
      <c r="AE273" s="41"/>
      <c r="AF273" s="41"/>
      <c r="AG273" s="41"/>
      <c r="AH273" s="41"/>
      <c r="AI273" s="41"/>
      <c r="AJ273" s="41"/>
      <c r="AK273" s="41"/>
      <c r="BI273" s="41"/>
      <c r="BT273" s="48"/>
      <c r="BU273" s="47"/>
      <c r="CG273" s="48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</row>
    <row r="274" spans="1:161" x14ac:dyDescent="0.25">
      <c r="A274" s="41"/>
      <c r="AC274" s="41"/>
      <c r="AD274" s="41"/>
      <c r="AE274" s="41"/>
      <c r="AF274" s="41"/>
      <c r="AG274" s="41"/>
      <c r="AH274" s="41"/>
      <c r="AI274" s="41"/>
      <c r="AJ274" s="41"/>
      <c r="AK274" s="41"/>
      <c r="BI274" s="41"/>
      <c r="BT274" s="48"/>
      <c r="BU274" s="47"/>
      <c r="CG274" s="48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</row>
    <row r="275" spans="1:161" x14ac:dyDescent="0.25">
      <c r="A275" s="41"/>
      <c r="AC275" s="41"/>
      <c r="AD275" s="41"/>
      <c r="AE275" s="41"/>
      <c r="AF275" s="41"/>
      <c r="AG275" s="41"/>
      <c r="AH275" s="41"/>
      <c r="AI275" s="41"/>
      <c r="AJ275" s="41"/>
      <c r="AK275" s="41"/>
      <c r="BI275" s="41"/>
      <c r="BT275" s="48"/>
      <c r="BU275" s="47"/>
      <c r="CG275" s="48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</row>
    <row r="276" spans="1:161" x14ac:dyDescent="0.25">
      <c r="A276" s="41"/>
      <c r="AC276" s="41"/>
      <c r="AD276" s="41"/>
      <c r="AE276" s="41"/>
      <c r="AF276" s="41"/>
      <c r="AG276" s="41"/>
      <c r="AH276" s="41"/>
      <c r="AI276" s="41"/>
      <c r="AJ276" s="41"/>
      <c r="AK276" s="41"/>
      <c r="BI276" s="41"/>
      <c r="BT276" s="48"/>
      <c r="BU276" s="47"/>
      <c r="CG276" s="48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</row>
    <row r="277" spans="1:161" x14ac:dyDescent="0.25">
      <c r="A277" s="41"/>
      <c r="AC277" s="41"/>
      <c r="AD277" s="41"/>
      <c r="AE277" s="41"/>
      <c r="AF277" s="41"/>
      <c r="AG277" s="41"/>
      <c r="AH277" s="41"/>
      <c r="AI277" s="41"/>
      <c r="AJ277" s="41"/>
      <c r="AK277" s="41"/>
      <c r="BI277" s="41"/>
      <c r="BT277" s="48"/>
      <c r="BU277" s="47"/>
      <c r="CG277" s="48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</row>
    <row r="278" spans="1:161" x14ac:dyDescent="0.25">
      <c r="A278" s="41"/>
      <c r="AC278" s="41"/>
      <c r="AD278" s="41"/>
      <c r="AE278" s="41"/>
      <c r="AF278" s="41"/>
      <c r="AG278" s="41"/>
      <c r="AH278" s="41"/>
      <c r="AI278" s="41"/>
      <c r="AJ278" s="41"/>
      <c r="AK278" s="41"/>
      <c r="BI278" s="41"/>
      <c r="BT278" s="48"/>
      <c r="BU278" s="47"/>
      <c r="CG278" s="48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</row>
    <row r="279" spans="1:161" x14ac:dyDescent="0.25">
      <c r="A279" s="41"/>
      <c r="AC279" s="41"/>
      <c r="AD279" s="41"/>
      <c r="AE279" s="41"/>
      <c r="AF279" s="41"/>
      <c r="AG279" s="41"/>
      <c r="AH279" s="41"/>
      <c r="AI279" s="41"/>
      <c r="AJ279" s="41"/>
      <c r="AK279" s="41"/>
      <c r="BI279" s="41"/>
      <c r="BT279" s="48"/>
      <c r="BU279" s="47"/>
      <c r="CG279" s="48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</row>
    <row r="280" spans="1:161" x14ac:dyDescent="0.25">
      <c r="A280" s="41"/>
      <c r="AC280" s="41"/>
      <c r="AD280" s="41"/>
      <c r="AE280" s="41"/>
      <c r="AF280" s="41"/>
      <c r="AG280" s="41"/>
      <c r="AH280" s="41"/>
      <c r="AI280" s="41"/>
      <c r="AJ280" s="41"/>
      <c r="AK280" s="41"/>
      <c r="BI280" s="41"/>
      <c r="BT280" s="48"/>
      <c r="BU280" s="47"/>
      <c r="CG280" s="48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</row>
    <row r="281" spans="1:161" x14ac:dyDescent="0.25">
      <c r="A281" s="41"/>
      <c r="AC281" s="41"/>
      <c r="AD281" s="41"/>
      <c r="AE281" s="41"/>
      <c r="AF281" s="41"/>
      <c r="AG281" s="41"/>
      <c r="AH281" s="41"/>
      <c r="AI281" s="41"/>
      <c r="AJ281" s="41"/>
      <c r="AK281" s="41"/>
      <c r="BI281" s="41"/>
      <c r="BT281" s="48"/>
      <c r="BU281" s="47"/>
      <c r="CG281" s="48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  <c r="EL281" s="41"/>
      <c r="EM281" s="41"/>
      <c r="EN281" s="41"/>
      <c r="EO281" s="41"/>
      <c r="EP281" s="41"/>
      <c r="EQ281" s="41"/>
      <c r="ER281" s="41"/>
      <c r="ES281" s="41"/>
      <c r="ET281" s="41"/>
      <c r="EU281" s="41"/>
      <c r="EV281" s="41"/>
      <c r="EW281" s="41"/>
      <c r="EX281" s="41"/>
      <c r="EY281" s="41"/>
      <c r="EZ281" s="41"/>
      <c r="FA281" s="41"/>
      <c r="FB281" s="41"/>
      <c r="FC281" s="41"/>
      <c r="FD281" s="41"/>
      <c r="FE281" s="41"/>
    </row>
    <row r="282" spans="1:161" x14ac:dyDescent="0.25">
      <c r="A282" s="41"/>
      <c r="AC282" s="41"/>
      <c r="AD282" s="41"/>
      <c r="AE282" s="41"/>
      <c r="AF282" s="41"/>
      <c r="AG282" s="41"/>
      <c r="AH282" s="41"/>
      <c r="AI282" s="41"/>
      <c r="AJ282" s="41"/>
      <c r="AK282" s="41"/>
      <c r="BI282" s="41"/>
      <c r="BT282" s="48"/>
      <c r="BU282" s="47"/>
      <c r="CG282" s="48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</row>
    <row r="283" spans="1:161" x14ac:dyDescent="0.25">
      <c r="A283" s="41"/>
      <c r="AC283" s="41"/>
      <c r="AD283" s="41"/>
      <c r="AE283" s="41"/>
      <c r="AF283" s="41"/>
      <c r="AG283" s="41"/>
      <c r="AH283" s="41"/>
      <c r="AI283" s="41"/>
      <c r="AJ283" s="41"/>
      <c r="AK283" s="41"/>
      <c r="BI283" s="41"/>
      <c r="BT283" s="48"/>
      <c r="BU283" s="47"/>
      <c r="CG283" s="48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</row>
    <row r="284" spans="1:161" x14ac:dyDescent="0.25">
      <c r="A284" s="41"/>
      <c r="AC284" s="41"/>
      <c r="AD284" s="41"/>
      <c r="AE284" s="41"/>
      <c r="AF284" s="41"/>
      <c r="AG284" s="41"/>
      <c r="AH284" s="41"/>
      <c r="AI284" s="41"/>
      <c r="AJ284" s="41"/>
      <c r="AK284" s="41"/>
      <c r="BI284" s="41"/>
      <c r="BT284" s="48"/>
      <c r="BU284" s="47"/>
      <c r="CG284" s="48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</row>
    <row r="285" spans="1:161" x14ac:dyDescent="0.25">
      <c r="A285" s="41"/>
      <c r="AC285" s="41"/>
      <c r="AD285" s="41"/>
      <c r="AE285" s="41"/>
      <c r="AF285" s="41"/>
      <c r="AG285" s="41"/>
      <c r="AH285" s="41"/>
      <c r="AI285" s="41"/>
      <c r="AJ285" s="41"/>
      <c r="AK285" s="41"/>
      <c r="BI285" s="41"/>
      <c r="BT285" s="48"/>
      <c r="BU285" s="47"/>
      <c r="CG285" s="48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  <c r="EL285" s="41"/>
      <c r="EM285" s="41"/>
      <c r="EN285" s="41"/>
      <c r="EO285" s="41"/>
      <c r="EP285" s="41"/>
      <c r="EQ285" s="41"/>
      <c r="ER285" s="41"/>
      <c r="ES285" s="41"/>
      <c r="ET285" s="41"/>
      <c r="EU285" s="41"/>
      <c r="EV285" s="41"/>
      <c r="EW285" s="41"/>
      <c r="EX285" s="41"/>
      <c r="EY285" s="41"/>
      <c r="EZ285" s="41"/>
      <c r="FA285" s="41"/>
      <c r="FB285" s="41"/>
      <c r="FC285" s="41"/>
      <c r="FD285" s="41"/>
      <c r="FE285" s="41"/>
    </row>
    <row r="286" spans="1:161" x14ac:dyDescent="0.25">
      <c r="A286" s="41"/>
      <c r="AC286" s="41"/>
      <c r="AD286" s="41"/>
      <c r="AE286" s="41"/>
      <c r="AF286" s="41"/>
      <c r="AG286" s="41"/>
      <c r="AH286" s="41"/>
      <c r="AI286" s="41"/>
      <c r="AJ286" s="41"/>
      <c r="AK286" s="41"/>
      <c r="BI286" s="41"/>
      <c r="BT286" s="48"/>
      <c r="BU286" s="47"/>
      <c r="CG286" s="48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</row>
    <row r="287" spans="1:161" x14ac:dyDescent="0.25">
      <c r="A287" s="41"/>
      <c r="AC287" s="41"/>
      <c r="AD287" s="41"/>
      <c r="AE287" s="41"/>
      <c r="AF287" s="41"/>
      <c r="AG287" s="41"/>
      <c r="AH287" s="41"/>
      <c r="AI287" s="41"/>
      <c r="AJ287" s="41"/>
      <c r="AK287" s="41"/>
      <c r="BI287" s="41"/>
      <c r="BT287" s="48"/>
      <c r="BU287" s="47"/>
      <c r="CG287" s="48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  <c r="EL287" s="41"/>
      <c r="EM287" s="41"/>
      <c r="EN287" s="41"/>
      <c r="EO287" s="41"/>
      <c r="EP287" s="41"/>
      <c r="EQ287" s="41"/>
      <c r="ER287" s="41"/>
      <c r="ES287" s="41"/>
      <c r="ET287" s="41"/>
      <c r="EU287" s="41"/>
      <c r="EV287" s="41"/>
      <c r="EW287" s="41"/>
      <c r="EX287" s="41"/>
      <c r="EY287" s="41"/>
      <c r="EZ287" s="41"/>
      <c r="FA287" s="41"/>
      <c r="FB287" s="41"/>
      <c r="FC287" s="41"/>
      <c r="FD287" s="41"/>
      <c r="FE287" s="41"/>
    </row>
    <row r="288" spans="1:161" x14ac:dyDescent="0.25">
      <c r="A288" s="41"/>
      <c r="AC288" s="41"/>
      <c r="AD288" s="41"/>
      <c r="AE288" s="41"/>
      <c r="AF288" s="41"/>
      <c r="AG288" s="41"/>
      <c r="AH288" s="41"/>
      <c r="AI288" s="41"/>
      <c r="AJ288" s="41"/>
      <c r="AK288" s="41"/>
      <c r="BI288" s="41"/>
      <c r="BT288" s="48"/>
      <c r="BU288" s="47"/>
      <c r="CG288" s="48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41"/>
      <c r="EF288" s="41"/>
      <c r="EG288" s="41"/>
      <c r="EH288" s="41"/>
      <c r="EI288" s="41"/>
      <c r="EJ288" s="41"/>
      <c r="EK288" s="41"/>
      <c r="EL288" s="41"/>
      <c r="EM288" s="41"/>
      <c r="EN288" s="41"/>
      <c r="EO288" s="41"/>
      <c r="EP288" s="41"/>
      <c r="EQ288" s="41"/>
      <c r="ER288" s="41"/>
      <c r="ES288" s="41"/>
      <c r="ET288" s="41"/>
      <c r="EU288" s="41"/>
      <c r="EV288" s="41"/>
      <c r="EW288" s="41"/>
      <c r="EX288" s="41"/>
      <c r="EY288" s="41"/>
      <c r="EZ288" s="41"/>
      <c r="FA288" s="41"/>
      <c r="FB288" s="41"/>
      <c r="FC288" s="41"/>
      <c r="FD288" s="41"/>
      <c r="FE288" s="41"/>
    </row>
    <row r="289" spans="1:161" x14ac:dyDescent="0.25">
      <c r="A289" s="41"/>
      <c r="AC289" s="41"/>
      <c r="AD289" s="41"/>
      <c r="AE289" s="41"/>
      <c r="AF289" s="41"/>
      <c r="AG289" s="41"/>
      <c r="AH289" s="41"/>
      <c r="AI289" s="41"/>
      <c r="AJ289" s="41"/>
      <c r="AK289" s="41"/>
      <c r="BI289" s="41"/>
      <c r="BT289" s="48"/>
      <c r="BU289" s="47"/>
      <c r="CG289" s="48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</row>
    <row r="290" spans="1:161" x14ac:dyDescent="0.25">
      <c r="A290" s="41"/>
      <c r="AC290" s="41"/>
      <c r="AD290" s="41"/>
      <c r="AE290" s="41"/>
      <c r="AF290" s="41"/>
      <c r="AG290" s="41"/>
      <c r="AH290" s="41"/>
      <c r="AI290" s="41"/>
      <c r="AJ290" s="41"/>
      <c r="AK290" s="41"/>
      <c r="BI290" s="41"/>
      <c r="BT290" s="48"/>
      <c r="BU290" s="47"/>
      <c r="CG290" s="48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DT290" s="41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41"/>
      <c r="EF290" s="41"/>
      <c r="EG290" s="41"/>
      <c r="EH290" s="41"/>
      <c r="EI290" s="41"/>
      <c r="EJ290" s="41"/>
      <c r="EK290" s="41"/>
      <c r="EL290" s="41"/>
      <c r="EM290" s="41"/>
      <c r="EN290" s="41"/>
      <c r="EO290" s="41"/>
      <c r="EP290" s="41"/>
      <c r="EQ290" s="41"/>
      <c r="ER290" s="41"/>
      <c r="ES290" s="41"/>
      <c r="ET290" s="41"/>
      <c r="EU290" s="41"/>
      <c r="EV290" s="41"/>
      <c r="EW290" s="41"/>
      <c r="EX290" s="41"/>
      <c r="EY290" s="41"/>
      <c r="EZ290" s="41"/>
      <c r="FA290" s="41"/>
      <c r="FB290" s="41"/>
      <c r="FC290" s="41"/>
      <c r="FD290" s="41"/>
      <c r="FE290" s="41"/>
    </row>
    <row r="291" spans="1:161" x14ac:dyDescent="0.25">
      <c r="A291" s="41"/>
      <c r="AC291" s="41"/>
      <c r="AD291" s="41"/>
      <c r="AE291" s="41"/>
      <c r="AF291" s="41"/>
      <c r="AG291" s="41"/>
      <c r="AH291" s="41"/>
      <c r="AI291" s="41"/>
      <c r="AJ291" s="41"/>
      <c r="AK291" s="41"/>
      <c r="BI291" s="41"/>
      <c r="BT291" s="48"/>
      <c r="BU291" s="47"/>
      <c r="CG291" s="48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  <c r="EL291" s="41"/>
      <c r="EM291" s="41"/>
      <c r="EN291" s="41"/>
      <c r="EO291" s="41"/>
      <c r="EP291" s="41"/>
      <c r="EQ291" s="41"/>
      <c r="ER291" s="41"/>
      <c r="ES291" s="41"/>
      <c r="ET291" s="41"/>
      <c r="EU291" s="41"/>
      <c r="EV291" s="41"/>
      <c r="EW291" s="41"/>
      <c r="EX291" s="41"/>
      <c r="EY291" s="41"/>
      <c r="EZ291" s="41"/>
      <c r="FA291" s="41"/>
      <c r="FB291" s="41"/>
      <c r="FC291" s="41"/>
      <c r="FD291" s="41"/>
      <c r="FE291" s="41"/>
    </row>
    <row r="292" spans="1:161" x14ac:dyDescent="0.25">
      <c r="A292" s="41"/>
      <c r="AC292" s="41"/>
      <c r="AD292" s="41"/>
      <c r="AE292" s="41"/>
      <c r="AF292" s="41"/>
      <c r="AG292" s="41"/>
      <c r="AH292" s="41"/>
      <c r="AI292" s="41"/>
      <c r="AJ292" s="41"/>
      <c r="AK292" s="41"/>
      <c r="BI292" s="41"/>
      <c r="BT292" s="48"/>
      <c r="BU292" s="47"/>
      <c r="CG292" s="48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  <c r="EL292" s="41"/>
      <c r="EM292" s="41"/>
      <c r="EN292" s="41"/>
      <c r="EO292" s="41"/>
      <c r="EP292" s="41"/>
      <c r="EQ292" s="41"/>
      <c r="ER292" s="41"/>
      <c r="ES292" s="41"/>
      <c r="ET292" s="41"/>
      <c r="EU292" s="41"/>
      <c r="EV292" s="41"/>
      <c r="EW292" s="41"/>
      <c r="EX292" s="41"/>
      <c r="EY292" s="41"/>
      <c r="EZ292" s="41"/>
      <c r="FA292" s="41"/>
      <c r="FB292" s="41"/>
      <c r="FC292" s="41"/>
      <c r="FD292" s="41"/>
      <c r="FE292" s="41"/>
    </row>
    <row r="293" spans="1:161" x14ac:dyDescent="0.25">
      <c r="A293" s="41"/>
      <c r="AC293" s="41"/>
      <c r="AD293" s="41"/>
      <c r="AE293" s="41"/>
      <c r="AF293" s="41"/>
      <c r="AG293" s="41"/>
      <c r="AH293" s="41"/>
      <c r="AI293" s="41"/>
      <c r="AJ293" s="41"/>
      <c r="AK293" s="41"/>
      <c r="BI293" s="41"/>
      <c r="BT293" s="48"/>
      <c r="BU293" s="47"/>
      <c r="CG293" s="48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DT293" s="41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41"/>
      <c r="EF293" s="41"/>
      <c r="EG293" s="41"/>
      <c r="EH293" s="41"/>
      <c r="EI293" s="41"/>
      <c r="EJ293" s="41"/>
      <c r="EK293" s="41"/>
      <c r="EL293" s="41"/>
      <c r="EM293" s="41"/>
      <c r="EN293" s="41"/>
      <c r="EO293" s="41"/>
      <c r="EP293" s="41"/>
      <c r="EQ293" s="41"/>
      <c r="ER293" s="41"/>
      <c r="ES293" s="41"/>
      <c r="ET293" s="41"/>
      <c r="EU293" s="41"/>
      <c r="EV293" s="41"/>
      <c r="EW293" s="41"/>
      <c r="EX293" s="41"/>
      <c r="EY293" s="41"/>
      <c r="EZ293" s="41"/>
      <c r="FA293" s="41"/>
      <c r="FB293" s="41"/>
      <c r="FC293" s="41"/>
      <c r="FD293" s="41"/>
      <c r="FE293" s="41"/>
    </row>
    <row r="294" spans="1:161" x14ac:dyDescent="0.25">
      <c r="A294" s="41"/>
      <c r="AC294" s="41"/>
      <c r="AD294" s="41"/>
      <c r="AE294" s="41"/>
      <c r="AF294" s="41"/>
      <c r="AG294" s="41"/>
      <c r="AH294" s="41"/>
      <c r="AI294" s="41"/>
      <c r="AJ294" s="41"/>
      <c r="AK294" s="41"/>
      <c r="BI294" s="41"/>
      <c r="BT294" s="48"/>
      <c r="BU294" s="47"/>
      <c r="CG294" s="48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  <c r="EL294" s="41"/>
      <c r="EM294" s="41"/>
      <c r="EN294" s="41"/>
      <c r="EO294" s="41"/>
      <c r="EP294" s="41"/>
      <c r="EQ294" s="41"/>
      <c r="ER294" s="41"/>
      <c r="ES294" s="41"/>
      <c r="ET294" s="41"/>
      <c r="EU294" s="41"/>
      <c r="EV294" s="41"/>
      <c r="EW294" s="41"/>
      <c r="EX294" s="41"/>
      <c r="EY294" s="41"/>
      <c r="EZ294" s="41"/>
      <c r="FA294" s="41"/>
      <c r="FB294" s="41"/>
      <c r="FC294" s="41"/>
      <c r="FD294" s="41"/>
      <c r="FE294" s="41"/>
    </row>
    <row r="295" spans="1:161" x14ac:dyDescent="0.25">
      <c r="A295" s="41"/>
      <c r="AC295" s="41"/>
      <c r="AD295" s="41"/>
      <c r="AE295" s="41"/>
      <c r="AF295" s="41"/>
      <c r="AG295" s="41"/>
      <c r="AH295" s="41"/>
      <c r="AI295" s="41"/>
      <c r="AJ295" s="41"/>
      <c r="AK295" s="41"/>
      <c r="BI295" s="41"/>
      <c r="BT295" s="48"/>
      <c r="BU295" s="47"/>
      <c r="CG295" s="48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  <c r="DL295" s="41"/>
      <c r="DM295" s="41"/>
      <c r="DN295" s="41"/>
      <c r="DO295" s="41"/>
      <c r="DP295" s="41"/>
      <c r="DQ295" s="41"/>
      <c r="DR295" s="41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  <c r="EE295" s="41"/>
      <c r="EF295" s="41"/>
      <c r="EG295" s="41"/>
      <c r="EH295" s="41"/>
      <c r="EI295" s="41"/>
      <c r="EJ295" s="41"/>
      <c r="EK295" s="41"/>
      <c r="EL295" s="41"/>
      <c r="EM295" s="41"/>
      <c r="EN295" s="41"/>
      <c r="EO295" s="41"/>
      <c r="EP295" s="41"/>
      <c r="EQ295" s="41"/>
      <c r="ER295" s="41"/>
      <c r="ES295" s="41"/>
      <c r="ET295" s="41"/>
      <c r="EU295" s="41"/>
      <c r="EV295" s="41"/>
      <c r="EW295" s="41"/>
      <c r="EX295" s="41"/>
      <c r="EY295" s="41"/>
      <c r="EZ295" s="41"/>
      <c r="FA295" s="41"/>
      <c r="FB295" s="41"/>
      <c r="FC295" s="41"/>
      <c r="FD295" s="41"/>
      <c r="FE295" s="41"/>
    </row>
    <row r="296" spans="1:161" x14ac:dyDescent="0.25">
      <c r="A296" s="41"/>
      <c r="AC296" s="41"/>
      <c r="AD296" s="41"/>
      <c r="AE296" s="41"/>
      <c r="AF296" s="41"/>
      <c r="AG296" s="41"/>
      <c r="AH296" s="41"/>
      <c r="AI296" s="41"/>
      <c r="AJ296" s="41"/>
      <c r="AK296" s="41"/>
      <c r="BI296" s="41"/>
      <c r="BT296" s="48"/>
      <c r="BU296" s="47"/>
      <c r="CG296" s="48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41"/>
      <c r="EF296" s="41"/>
      <c r="EG296" s="41"/>
      <c r="EH296" s="41"/>
      <c r="EI296" s="41"/>
      <c r="EJ296" s="41"/>
      <c r="EK296" s="41"/>
      <c r="EL296" s="41"/>
      <c r="EM296" s="41"/>
      <c r="EN296" s="41"/>
      <c r="EO296" s="41"/>
      <c r="EP296" s="41"/>
      <c r="EQ296" s="41"/>
      <c r="ER296" s="41"/>
      <c r="ES296" s="41"/>
      <c r="ET296" s="41"/>
      <c r="EU296" s="41"/>
      <c r="EV296" s="41"/>
      <c r="EW296" s="41"/>
      <c r="EX296" s="41"/>
      <c r="EY296" s="41"/>
      <c r="EZ296" s="41"/>
      <c r="FA296" s="41"/>
      <c r="FB296" s="41"/>
      <c r="FC296" s="41"/>
      <c r="FD296" s="41"/>
      <c r="FE296" s="41"/>
    </row>
    <row r="297" spans="1:161" x14ac:dyDescent="0.25">
      <c r="A297" s="41"/>
      <c r="AC297" s="41"/>
      <c r="AD297" s="41"/>
      <c r="AE297" s="41"/>
      <c r="AF297" s="41"/>
      <c r="AG297" s="41"/>
      <c r="AH297" s="41"/>
      <c r="AI297" s="41"/>
      <c r="AJ297" s="41"/>
      <c r="AK297" s="41"/>
      <c r="BI297" s="41"/>
      <c r="BT297" s="48"/>
      <c r="BU297" s="47"/>
      <c r="CG297" s="48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  <c r="EO297" s="41"/>
      <c r="EP297" s="41"/>
      <c r="EQ297" s="41"/>
      <c r="ER297" s="41"/>
      <c r="ES297" s="41"/>
      <c r="ET297" s="41"/>
      <c r="EU297" s="41"/>
      <c r="EV297" s="41"/>
      <c r="EW297" s="41"/>
      <c r="EX297" s="41"/>
      <c r="EY297" s="41"/>
      <c r="EZ297" s="41"/>
      <c r="FA297" s="41"/>
      <c r="FB297" s="41"/>
      <c r="FC297" s="41"/>
      <c r="FD297" s="41"/>
      <c r="FE297" s="41"/>
    </row>
    <row r="298" spans="1:161" x14ac:dyDescent="0.25">
      <c r="A298" s="41"/>
      <c r="AC298" s="41"/>
      <c r="AD298" s="41"/>
      <c r="AE298" s="41"/>
      <c r="AF298" s="41"/>
      <c r="AG298" s="41"/>
      <c r="AH298" s="41"/>
      <c r="AI298" s="41"/>
      <c r="AJ298" s="41"/>
      <c r="AK298" s="41"/>
      <c r="BI298" s="41"/>
      <c r="BT298" s="48"/>
      <c r="BU298" s="47"/>
      <c r="CG298" s="48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  <c r="EL298" s="41"/>
      <c r="EM298" s="41"/>
      <c r="EN298" s="41"/>
      <c r="EO298" s="41"/>
      <c r="EP298" s="41"/>
      <c r="EQ298" s="41"/>
      <c r="ER298" s="41"/>
      <c r="ES298" s="41"/>
      <c r="ET298" s="41"/>
      <c r="EU298" s="41"/>
      <c r="EV298" s="41"/>
      <c r="EW298" s="41"/>
      <c r="EX298" s="41"/>
      <c r="EY298" s="41"/>
      <c r="EZ298" s="41"/>
      <c r="FA298" s="41"/>
      <c r="FB298" s="41"/>
      <c r="FC298" s="41"/>
      <c r="FD298" s="41"/>
      <c r="FE298" s="41"/>
    </row>
    <row r="299" spans="1:161" x14ac:dyDescent="0.25">
      <c r="A299" s="41"/>
      <c r="AC299" s="41"/>
      <c r="AD299" s="41"/>
      <c r="AE299" s="41"/>
      <c r="AF299" s="41"/>
      <c r="AG299" s="41"/>
      <c r="AH299" s="41"/>
      <c r="AI299" s="41"/>
      <c r="AJ299" s="41"/>
      <c r="AK299" s="41"/>
      <c r="BI299" s="41"/>
      <c r="BT299" s="48"/>
      <c r="BU299" s="47"/>
      <c r="CG299" s="48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  <c r="EL299" s="41"/>
      <c r="EM299" s="41"/>
      <c r="EN299" s="41"/>
      <c r="EO299" s="41"/>
      <c r="EP299" s="41"/>
      <c r="EQ299" s="41"/>
      <c r="ER299" s="41"/>
      <c r="ES299" s="41"/>
      <c r="ET299" s="41"/>
      <c r="EU299" s="41"/>
      <c r="EV299" s="41"/>
      <c r="EW299" s="41"/>
      <c r="EX299" s="41"/>
      <c r="EY299" s="41"/>
      <c r="EZ299" s="41"/>
      <c r="FA299" s="41"/>
      <c r="FB299" s="41"/>
      <c r="FC299" s="41"/>
      <c r="FD299" s="41"/>
      <c r="FE299" s="41"/>
    </row>
    <row r="300" spans="1:161" x14ac:dyDescent="0.25">
      <c r="A300" s="41"/>
      <c r="AC300" s="41"/>
      <c r="AD300" s="41"/>
      <c r="AE300" s="41"/>
      <c r="AF300" s="41"/>
      <c r="AG300" s="41"/>
      <c r="AH300" s="41"/>
      <c r="AI300" s="41"/>
      <c r="AJ300" s="41"/>
      <c r="AK300" s="41"/>
      <c r="BI300" s="41"/>
      <c r="BT300" s="48"/>
      <c r="BU300" s="47"/>
      <c r="CG300" s="48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DT300" s="41"/>
      <c r="DU300" s="41"/>
      <c r="DV300" s="41"/>
      <c r="DW300" s="41"/>
      <c r="DX300" s="41"/>
      <c r="DY300" s="41"/>
      <c r="DZ300" s="41"/>
      <c r="EA300" s="41"/>
      <c r="EB300" s="41"/>
      <c r="EC300" s="41"/>
      <c r="ED300" s="41"/>
      <c r="EE300" s="41"/>
      <c r="EF300" s="41"/>
      <c r="EG300" s="41"/>
      <c r="EH300" s="41"/>
      <c r="EI300" s="41"/>
      <c r="EJ300" s="41"/>
      <c r="EK300" s="41"/>
      <c r="EL300" s="41"/>
      <c r="EM300" s="41"/>
      <c r="EN300" s="41"/>
      <c r="EO300" s="41"/>
      <c r="EP300" s="41"/>
      <c r="EQ300" s="41"/>
      <c r="ER300" s="41"/>
      <c r="ES300" s="41"/>
      <c r="ET300" s="41"/>
      <c r="EU300" s="41"/>
      <c r="EV300" s="41"/>
      <c r="EW300" s="41"/>
      <c r="EX300" s="41"/>
      <c r="EY300" s="41"/>
      <c r="EZ300" s="41"/>
      <c r="FA300" s="41"/>
      <c r="FB300" s="41"/>
      <c r="FC300" s="41"/>
      <c r="FD300" s="41"/>
      <c r="FE300" s="41"/>
    </row>
    <row r="301" spans="1:161" x14ac:dyDescent="0.25">
      <c r="A301" s="41"/>
      <c r="AC301" s="41"/>
      <c r="AD301" s="41"/>
      <c r="AE301" s="41"/>
      <c r="AF301" s="41"/>
      <c r="AG301" s="41"/>
      <c r="AH301" s="41"/>
      <c r="AI301" s="41"/>
      <c r="AJ301" s="41"/>
      <c r="AK301" s="41"/>
      <c r="BI301" s="41"/>
      <c r="BT301" s="48"/>
      <c r="BU301" s="47"/>
      <c r="CG301" s="48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</row>
    <row r="302" spans="1:161" x14ac:dyDescent="0.25">
      <c r="A302" s="41"/>
      <c r="AC302" s="41"/>
      <c r="AD302" s="41"/>
      <c r="AE302" s="41"/>
      <c r="AF302" s="41"/>
      <c r="AG302" s="41"/>
      <c r="AH302" s="41"/>
      <c r="AI302" s="41"/>
      <c r="AJ302" s="41"/>
      <c r="AK302" s="41"/>
      <c r="BI302" s="41"/>
      <c r="BT302" s="48"/>
      <c r="BU302" s="47"/>
      <c r="CG302" s="48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41"/>
      <c r="EF302" s="41"/>
      <c r="EG302" s="41"/>
      <c r="EH302" s="41"/>
      <c r="EI302" s="41"/>
      <c r="EJ302" s="41"/>
      <c r="EK302" s="41"/>
      <c r="EL302" s="41"/>
      <c r="EM302" s="41"/>
      <c r="EN302" s="41"/>
      <c r="EO302" s="41"/>
      <c r="EP302" s="41"/>
      <c r="EQ302" s="41"/>
      <c r="ER302" s="41"/>
      <c r="ES302" s="41"/>
      <c r="ET302" s="41"/>
      <c r="EU302" s="41"/>
      <c r="EV302" s="41"/>
      <c r="EW302" s="41"/>
      <c r="EX302" s="41"/>
      <c r="EY302" s="41"/>
      <c r="EZ302" s="41"/>
      <c r="FA302" s="41"/>
      <c r="FB302" s="41"/>
      <c r="FC302" s="41"/>
      <c r="FD302" s="41"/>
      <c r="FE302" s="41"/>
    </row>
    <row r="303" spans="1:161" x14ac:dyDescent="0.25">
      <c r="A303" s="41"/>
      <c r="AC303" s="41"/>
      <c r="AD303" s="41"/>
      <c r="AE303" s="41"/>
      <c r="AF303" s="41"/>
      <c r="AG303" s="41"/>
      <c r="AH303" s="41"/>
      <c r="AI303" s="41"/>
      <c r="AJ303" s="41"/>
      <c r="AK303" s="41"/>
      <c r="BI303" s="41"/>
      <c r="BT303" s="48"/>
      <c r="BU303" s="47"/>
      <c r="CG303" s="48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</row>
    <row r="304" spans="1:161" x14ac:dyDescent="0.25">
      <c r="A304" s="41"/>
      <c r="AC304" s="41"/>
      <c r="AD304" s="41"/>
      <c r="AE304" s="41"/>
      <c r="AF304" s="41"/>
      <c r="AG304" s="41"/>
      <c r="AH304" s="41"/>
      <c r="AI304" s="41"/>
      <c r="AJ304" s="41"/>
      <c r="AK304" s="41"/>
      <c r="BI304" s="41"/>
      <c r="BT304" s="48"/>
      <c r="BU304" s="47"/>
      <c r="CG304" s="48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41"/>
      <c r="EF304" s="41"/>
      <c r="EG304" s="41"/>
      <c r="EH304" s="41"/>
      <c r="EI304" s="41"/>
      <c r="EJ304" s="41"/>
      <c r="EK304" s="41"/>
      <c r="EL304" s="41"/>
      <c r="EM304" s="41"/>
      <c r="EN304" s="41"/>
      <c r="EO304" s="41"/>
      <c r="EP304" s="41"/>
      <c r="EQ304" s="41"/>
      <c r="ER304" s="41"/>
      <c r="ES304" s="41"/>
      <c r="ET304" s="41"/>
      <c r="EU304" s="41"/>
      <c r="EV304" s="41"/>
      <c r="EW304" s="41"/>
      <c r="EX304" s="41"/>
      <c r="EY304" s="41"/>
      <c r="EZ304" s="41"/>
      <c r="FA304" s="41"/>
      <c r="FB304" s="41"/>
      <c r="FC304" s="41"/>
      <c r="FD304" s="41"/>
      <c r="FE304" s="41"/>
    </row>
    <row r="305" spans="1:161" x14ac:dyDescent="0.25">
      <c r="A305" s="41"/>
      <c r="AC305" s="41"/>
      <c r="AD305" s="41"/>
      <c r="AE305" s="41"/>
      <c r="AF305" s="41"/>
      <c r="AG305" s="41"/>
      <c r="AH305" s="41"/>
      <c r="AI305" s="41"/>
      <c r="AJ305" s="41"/>
      <c r="AK305" s="41"/>
      <c r="BI305" s="41"/>
      <c r="BT305" s="48"/>
      <c r="BU305" s="47"/>
      <c r="CG305" s="48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  <c r="EO305" s="41"/>
      <c r="EP305" s="41"/>
      <c r="EQ305" s="41"/>
      <c r="ER305" s="41"/>
      <c r="ES305" s="41"/>
      <c r="ET305" s="41"/>
      <c r="EU305" s="41"/>
      <c r="EV305" s="41"/>
      <c r="EW305" s="41"/>
      <c r="EX305" s="41"/>
      <c r="EY305" s="41"/>
      <c r="EZ305" s="41"/>
      <c r="FA305" s="41"/>
      <c r="FB305" s="41"/>
      <c r="FC305" s="41"/>
      <c r="FD305" s="41"/>
      <c r="FE305" s="41"/>
    </row>
    <row r="306" spans="1:161" x14ac:dyDescent="0.25">
      <c r="A306" s="41"/>
      <c r="AC306" s="41"/>
      <c r="AD306" s="41"/>
      <c r="AE306" s="41"/>
      <c r="AF306" s="41"/>
      <c r="AG306" s="41"/>
      <c r="AH306" s="41"/>
      <c r="AI306" s="41"/>
      <c r="AJ306" s="41"/>
      <c r="AK306" s="41"/>
      <c r="BI306" s="41"/>
      <c r="BT306" s="48"/>
      <c r="BU306" s="47"/>
      <c r="CG306" s="48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1"/>
      <c r="DJ306" s="41"/>
      <c r="DK306" s="41"/>
      <c r="DL306" s="41"/>
      <c r="DM306" s="41"/>
      <c r="DN306" s="41"/>
      <c r="DO306" s="41"/>
      <c r="DP306" s="41"/>
      <c r="DQ306" s="41"/>
      <c r="DR306" s="41"/>
      <c r="DS306" s="41"/>
      <c r="DT306" s="41"/>
      <c r="DU306" s="41"/>
      <c r="DV306" s="41"/>
      <c r="DW306" s="41"/>
      <c r="DX306" s="41"/>
      <c r="DY306" s="41"/>
      <c r="DZ306" s="41"/>
      <c r="EA306" s="41"/>
      <c r="EB306" s="41"/>
      <c r="EC306" s="41"/>
      <c r="ED306" s="41"/>
      <c r="EE306" s="41"/>
      <c r="EF306" s="41"/>
      <c r="EG306" s="41"/>
      <c r="EH306" s="41"/>
      <c r="EI306" s="41"/>
      <c r="EJ306" s="41"/>
      <c r="EK306" s="41"/>
      <c r="EL306" s="41"/>
      <c r="EM306" s="41"/>
      <c r="EN306" s="41"/>
      <c r="EO306" s="41"/>
      <c r="EP306" s="41"/>
      <c r="EQ306" s="41"/>
      <c r="ER306" s="41"/>
      <c r="ES306" s="41"/>
      <c r="ET306" s="41"/>
      <c r="EU306" s="41"/>
      <c r="EV306" s="41"/>
      <c r="EW306" s="41"/>
      <c r="EX306" s="41"/>
      <c r="EY306" s="41"/>
      <c r="EZ306" s="41"/>
      <c r="FA306" s="41"/>
      <c r="FB306" s="41"/>
      <c r="FC306" s="41"/>
      <c r="FD306" s="41"/>
      <c r="FE306" s="41"/>
    </row>
    <row r="307" spans="1:161" x14ac:dyDescent="0.25">
      <c r="A307" s="41"/>
      <c r="AC307" s="41"/>
      <c r="AD307" s="41"/>
      <c r="AE307" s="41"/>
      <c r="AF307" s="41"/>
      <c r="AG307" s="41"/>
      <c r="AH307" s="41"/>
      <c r="AI307" s="41"/>
      <c r="AJ307" s="41"/>
      <c r="AK307" s="41"/>
      <c r="BI307" s="41"/>
      <c r="BT307" s="48"/>
      <c r="BU307" s="47"/>
      <c r="CG307" s="48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  <c r="EL307" s="41"/>
      <c r="EM307" s="41"/>
      <c r="EN307" s="41"/>
      <c r="EO307" s="41"/>
      <c r="EP307" s="41"/>
      <c r="EQ307" s="41"/>
      <c r="ER307" s="41"/>
      <c r="ES307" s="41"/>
      <c r="ET307" s="41"/>
      <c r="EU307" s="41"/>
      <c r="EV307" s="41"/>
      <c r="EW307" s="41"/>
      <c r="EX307" s="41"/>
      <c r="EY307" s="41"/>
      <c r="EZ307" s="41"/>
      <c r="FA307" s="41"/>
      <c r="FB307" s="41"/>
      <c r="FC307" s="41"/>
      <c r="FD307" s="41"/>
      <c r="FE307" s="41"/>
    </row>
    <row r="308" spans="1:161" x14ac:dyDescent="0.25">
      <c r="A308" s="41"/>
      <c r="AC308" s="41"/>
      <c r="AD308" s="41"/>
      <c r="AE308" s="41"/>
      <c r="AF308" s="41"/>
      <c r="AG308" s="41"/>
      <c r="AH308" s="41"/>
      <c r="AI308" s="41"/>
      <c r="AJ308" s="41"/>
      <c r="AK308" s="41"/>
      <c r="BI308" s="41"/>
      <c r="BT308" s="48"/>
      <c r="BU308" s="47"/>
      <c r="CG308" s="48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</row>
    <row r="309" spans="1:161" x14ac:dyDescent="0.25">
      <c r="A309" s="41"/>
      <c r="AC309" s="41"/>
      <c r="AD309" s="41"/>
      <c r="AE309" s="41"/>
      <c r="AF309" s="41"/>
      <c r="AG309" s="41"/>
      <c r="AH309" s="41"/>
      <c r="AI309" s="41"/>
      <c r="AJ309" s="41"/>
      <c r="AK309" s="41"/>
      <c r="BI309" s="41"/>
      <c r="BT309" s="48"/>
      <c r="BU309" s="47"/>
      <c r="CG309" s="48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  <c r="EL309" s="41"/>
      <c r="EM309" s="41"/>
      <c r="EN309" s="41"/>
      <c r="EO309" s="41"/>
      <c r="EP309" s="41"/>
      <c r="EQ309" s="41"/>
      <c r="ER309" s="41"/>
      <c r="ES309" s="41"/>
      <c r="ET309" s="41"/>
      <c r="EU309" s="41"/>
      <c r="EV309" s="41"/>
      <c r="EW309" s="41"/>
      <c r="EX309" s="41"/>
      <c r="EY309" s="41"/>
      <c r="EZ309" s="41"/>
      <c r="FA309" s="41"/>
      <c r="FB309" s="41"/>
      <c r="FC309" s="41"/>
      <c r="FD309" s="41"/>
      <c r="FE309" s="41"/>
    </row>
    <row r="310" spans="1:161" x14ac:dyDescent="0.25">
      <c r="A310" s="41"/>
      <c r="AC310" s="41"/>
      <c r="AD310" s="41"/>
      <c r="AE310" s="41"/>
      <c r="AF310" s="41"/>
      <c r="AG310" s="41"/>
      <c r="AH310" s="41"/>
      <c r="AI310" s="41"/>
      <c r="AJ310" s="41"/>
      <c r="AK310" s="41"/>
      <c r="BI310" s="41"/>
      <c r="BT310" s="48"/>
      <c r="BU310" s="47"/>
      <c r="CG310" s="48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</row>
    <row r="311" spans="1:161" x14ac:dyDescent="0.25">
      <c r="A311" s="41"/>
      <c r="AC311" s="41"/>
      <c r="AD311" s="41"/>
      <c r="AE311" s="41"/>
      <c r="AF311" s="41"/>
      <c r="AG311" s="41"/>
      <c r="AH311" s="41"/>
      <c r="AI311" s="41"/>
      <c r="AJ311" s="41"/>
      <c r="AK311" s="41"/>
      <c r="BI311" s="41"/>
      <c r="BT311" s="48"/>
      <c r="BU311" s="47"/>
      <c r="CG311" s="48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</row>
    <row r="312" spans="1:161" x14ac:dyDescent="0.25">
      <c r="A312" s="41"/>
      <c r="AC312" s="41"/>
      <c r="AD312" s="41"/>
      <c r="AE312" s="41"/>
      <c r="AF312" s="41"/>
      <c r="AG312" s="41"/>
      <c r="AH312" s="41"/>
      <c r="AI312" s="41"/>
      <c r="AJ312" s="41"/>
      <c r="AK312" s="41"/>
      <c r="BI312" s="41"/>
      <c r="BT312" s="48"/>
      <c r="BU312" s="47"/>
      <c r="CG312" s="48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  <c r="EO312" s="41"/>
      <c r="EP312" s="41"/>
      <c r="EQ312" s="41"/>
      <c r="ER312" s="41"/>
      <c r="ES312" s="41"/>
      <c r="ET312" s="41"/>
      <c r="EU312" s="41"/>
      <c r="EV312" s="41"/>
      <c r="EW312" s="41"/>
      <c r="EX312" s="41"/>
      <c r="EY312" s="41"/>
      <c r="EZ312" s="41"/>
      <c r="FA312" s="41"/>
      <c r="FB312" s="41"/>
      <c r="FC312" s="41"/>
      <c r="FD312" s="41"/>
      <c r="FE312" s="41"/>
    </row>
    <row r="313" spans="1:161" x14ac:dyDescent="0.25">
      <c r="A313" s="41"/>
      <c r="AC313" s="41"/>
      <c r="AD313" s="41"/>
      <c r="AE313" s="41"/>
      <c r="AF313" s="41"/>
      <c r="AG313" s="41"/>
      <c r="AH313" s="41"/>
      <c r="AI313" s="41"/>
      <c r="AJ313" s="41"/>
      <c r="AK313" s="41"/>
      <c r="BI313" s="41"/>
      <c r="BT313" s="48"/>
      <c r="BU313" s="47"/>
      <c r="CG313" s="48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</row>
    <row r="314" spans="1:161" x14ac:dyDescent="0.25">
      <c r="A314" s="41"/>
      <c r="AC314" s="41"/>
      <c r="AD314" s="41"/>
      <c r="AE314" s="41"/>
      <c r="AF314" s="41"/>
      <c r="AG314" s="41"/>
      <c r="AH314" s="41"/>
      <c r="AI314" s="41"/>
      <c r="AJ314" s="41"/>
      <c r="AK314" s="41"/>
      <c r="BI314" s="41"/>
      <c r="BT314" s="48"/>
      <c r="BU314" s="47"/>
      <c r="CG314" s="48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</row>
    <row r="315" spans="1:161" x14ac:dyDescent="0.25">
      <c r="A315" s="41"/>
      <c r="AC315" s="41"/>
      <c r="AD315" s="41"/>
      <c r="AE315" s="41"/>
      <c r="AF315" s="41"/>
      <c r="AG315" s="41"/>
      <c r="AH315" s="41"/>
      <c r="AI315" s="41"/>
      <c r="AJ315" s="41"/>
      <c r="AK315" s="41"/>
      <c r="BI315" s="41"/>
      <c r="BT315" s="48"/>
      <c r="BU315" s="47"/>
      <c r="CG315" s="48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</row>
    <row r="316" spans="1:161" x14ac:dyDescent="0.25">
      <c r="A316" s="41"/>
      <c r="AC316" s="41"/>
      <c r="AD316" s="41"/>
      <c r="AE316" s="41"/>
      <c r="AF316" s="41"/>
      <c r="AG316" s="41"/>
      <c r="AH316" s="41"/>
      <c r="AI316" s="41"/>
      <c r="AJ316" s="41"/>
      <c r="AK316" s="41"/>
      <c r="BI316" s="41"/>
      <c r="BT316" s="48"/>
      <c r="BU316" s="47"/>
      <c r="CG316" s="48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</row>
    <row r="317" spans="1:161" x14ac:dyDescent="0.25">
      <c r="A317" s="41"/>
      <c r="AC317" s="41"/>
      <c r="AD317" s="41"/>
      <c r="AE317" s="41"/>
      <c r="AF317" s="41"/>
      <c r="AG317" s="41"/>
      <c r="AH317" s="41"/>
      <c r="AI317" s="41"/>
      <c r="AJ317" s="41"/>
      <c r="AK317" s="41"/>
      <c r="BI317" s="41"/>
      <c r="BT317" s="48"/>
      <c r="BU317" s="47"/>
      <c r="CG317" s="48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</row>
    <row r="318" spans="1:161" x14ac:dyDescent="0.25">
      <c r="A318" s="41"/>
      <c r="AC318" s="41"/>
      <c r="AD318" s="41"/>
      <c r="AE318" s="41"/>
      <c r="AF318" s="41"/>
      <c r="AG318" s="41"/>
      <c r="AH318" s="41"/>
      <c r="AI318" s="41"/>
      <c r="AJ318" s="41"/>
      <c r="AK318" s="41"/>
      <c r="BI318" s="41"/>
      <c r="BT318" s="48"/>
      <c r="BU318" s="47"/>
      <c r="CG318" s="48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  <c r="EL318" s="41"/>
      <c r="EM318" s="41"/>
      <c r="EN318" s="41"/>
      <c r="EO318" s="41"/>
      <c r="EP318" s="41"/>
      <c r="EQ318" s="41"/>
      <c r="ER318" s="41"/>
      <c r="ES318" s="41"/>
      <c r="ET318" s="41"/>
      <c r="EU318" s="41"/>
      <c r="EV318" s="41"/>
      <c r="EW318" s="41"/>
      <c r="EX318" s="41"/>
      <c r="EY318" s="41"/>
      <c r="EZ318" s="41"/>
      <c r="FA318" s="41"/>
      <c r="FB318" s="41"/>
      <c r="FC318" s="41"/>
      <c r="FD318" s="41"/>
      <c r="FE318" s="41"/>
    </row>
    <row r="319" spans="1:161" x14ac:dyDescent="0.25">
      <c r="A319" s="41"/>
      <c r="AC319" s="41"/>
      <c r="AD319" s="41"/>
      <c r="AE319" s="41"/>
      <c r="AF319" s="41"/>
      <c r="AG319" s="41"/>
      <c r="AH319" s="41"/>
      <c r="AI319" s="41"/>
      <c r="AJ319" s="41"/>
      <c r="AK319" s="41"/>
      <c r="BI319" s="41"/>
      <c r="BT319" s="48"/>
      <c r="BU319" s="47"/>
      <c r="CG319" s="48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41"/>
      <c r="EF319" s="41"/>
      <c r="EG319" s="41"/>
      <c r="EH319" s="41"/>
      <c r="EI319" s="41"/>
      <c r="EJ319" s="41"/>
      <c r="EK319" s="41"/>
      <c r="EL319" s="41"/>
      <c r="EM319" s="41"/>
      <c r="EN319" s="41"/>
      <c r="EO319" s="41"/>
      <c r="EP319" s="41"/>
      <c r="EQ319" s="41"/>
      <c r="ER319" s="41"/>
      <c r="ES319" s="41"/>
      <c r="ET319" s="41"/>
      <c r="EU319" s="41"/>
      <c r="EV319" s="41"/>
      <c r="EW319" s="41"/>
      <c r="EX319" s="41"/>
      <c r="EY319" s="41"/>
      <c r="EZ319" s="41"/>
      <c r="FA319" s="41"/>
      <c r="FB319" s="41"/>
      <c r="FC319" s="41"/>
      <c r="FD319" s="41"/>
      <c r="FE319" s="41"/>
    </row>
    <row r="320" spans="1:161" x14ac:dyDescent="0.25">
      <c r="A320" s="41"/>
      <c r="AC320" s="41"/>
      <c r="AD320" s="41"/>
      <c r="AE320" s="41"/>
      <c r="AF320" s="41"/>
      <c r="AG320" s="41"/>
      <c r="AH320" s="41"/>
      <c r="AI320" s="41"/>
      <c r="AJ320" s="41"/>
      <c r="AK320" s="41"/>
      <c r="BI320" s="41"/>
      <c r="BT320" s="48"/>
      <c r="BU320" s="47"/>
      <c r="CG320" s="48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/>
      <c r="EL320" s="41"/>
      <c r="EM320" s="41"/>
      <c r="EN320" s="41"/>
      <c r="EO320" s="41"/>
      <c r="EP320" s="41"/>
      <c r="EQ320" s="41"/>
      <c r="ER320" s="41"/>
      <c r="ES320" s="41"/>
      <c r="ET320" s="41"/>
      <c r="EU320" s="41"/>
      <c r="EV320" s="41"/>
      <c r="EW320" s="41"/>
      <c r="EX320" s="41"/>
      <c r="EY320" s="41"/>
      <c r="EZ320" s="41"/>
      <c r="FA320" s="41"/>
      <c r="FB320" s="41"/>
      <c r="FC320" s="41"/>
      <c r="FD320" s="41"/>
      <c r="FE320" s="41"/>
    </row>
    <row r="321" spans="1:161" x14ac:dyDescent="0.25">
      <c r="A321" s="41"/>
      <c r="AC321" s="41"/>
      <c r="AD321" s="41"/>
      <c r="AE321" s="41"/>
      <c r="AF321" s="41"/>
      <c r="AG321" s="41"/>
      <c r="AH321" s="41"/>
      <c r="AI321" s="41"/>
      <c r="AJ321" s="41"/>
      <c r="AK321" s="41"/>
      <c r="BI321" s="41"/>
      <c r="BT321" s="48"/>
      <c r="BU321" s="47"/>
      <c r="CG321" s="48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41"/>
      <c r="DI321" s="41"/>
      <c r="DJ321" s="41"/>
      <c r="DK321" s="41"/>
      <c r="DL321" s="41"/>
      <c r="DM321" s="41"/>
      <c r="DN321" s="41"/>
      <c r="DO321" s="41"/>
      <c r="DP321" s="41"/>
      <c r="DQ321" s="41"/>
      <c r="DR321" s="41"/>
      <c r="DS321" s="41"/>
      <c r="DT321" s="41"/>
      <c r="DU321" s="41"/>
      <c r="DV321" s="41"/>
      <c r="DW321" s="41"/>
      <c r="DX321" s="41"/>
      <c r="DY321" s="41"/>
      <c r="DZ321" s="41"/>
      <c r="EA321" s="41"/>
      <c r="EB321" s="41"/>
      <c r="EC321" s="41"/>
      <c r="ED321" s="41"/>
      <c r="EE321" s="41"/>
      <c r="EF321" s="41"/>
      <c r="EG321" s="41"/>
      <c r="EH321" s="41"/>
      <c r="EI321" s="41"/>
      <c r="EJ321" s="41"/>
      <c r="EK321" s="41"/>
      <c r="EL321" s="41"/>
      <c r="EM321" s="41"/>
      <c r="EN321" s="41"/>
      <c r="EO321" s="41"/>
      <c r="EP321" s="41"/>
      <c r="EQ321" s="41"/>
      <c r="ER321" s="41"/>
      <c r="ES321" s="41"/>
      <c r="ET321" s="41"/>
      <c r="EU321" s="41"/>
      <c r="EV321" s="41"/>
      <c r="EW321" s="41"/>
      <c r="EX321" s="41"/>
      <c r="EY321" s="41"/>
      <c r="EZ321" s="41"/>
      <c r="FA321" s="41"/>
      <c r="FB321" s="41"/>
      <c r="FC321" s="41"/>
      <c r="FD321" s="41"/>
      <c r="FE321" s="41"/>
    </row>
    <row r="322" spans="1:161" x14ac:dyDescent="0.25">
      <c r="A322" s="41"/>
      <c r="AC322" s="41"/>
      <c r="AD322" s="41"/>
      <c r="AE322" s="41"/>
      <c r="AF322" s="41"/>
      <c r="AG322" s="41"/>
      <c r="AH322" s="41"/>
      <c r="AI322" s="41"/>
      <c r="AJ322" s="41"/>
      <c r="AK322" s="41"/>
      <c r="BI322" s="41"/>
      <c r="BT322" s="48"/>
      <c r="BU322" s="47"/>
      <c r="CG322" s="48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  <c r="DL322" s="41"/>
      <c r="DM322" s="41"/>
      <c r="DN322" s="41"/>
      <c r="DO322" s="41"/>
      <c r="DP322" s="41"/>
      <c r="DQ322" s="41"/>
      <c r="DR322" s="4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41"/>
      <c r="EF322" s="41"/>
      <c r="EG322" s="41"/>
      <c r="EH322" s="41"/>
      <c r="EI322" s="41"/>
      <c r="EJ322" s="41"/>
      <c r="EK322" s="41"/>
      <c r="EL322" s="41"/>
      <c r="EM322" s="41"/>
      <c r="EN322" s="41"/>
      <c r="EO322" s="41"/>
      <c r="EP322" s="41"/>
      <c r="EQ322" s="41"/>
      <c r="ER322" s="41"/>
      <c r="ES322" s="41"/>
      <c r="ET322" s="41"/>
      <c r="EU322" s="41"/>
      <c r="EV322" s="41"/>
      <c r="EW322" s="41"/>
      <c r="EX322" s="41"/>
      <c r="EY322" s="41"/>
      <c r="EZ322" s="41"/>
      <c r="FA322" s="41"/>
      <c r="FB322" s="41"/>
      <c r="FC322" s="41"/>
      <c r="FD322" s="41"/>
      <c r="FE322" s="41"/>
    </row>
    <row r="323" spans="1:161" x14ac:dyDescent="0.25">
      <c r="A323" s="41"/>
      <c r="AC323" s="41"/>
      <c r="AD323" s="41"/>
      <c r="AE323" s="41"/>
      <c r="AF323" s="41"/>
      <c r="AG323" s="41"/>
      <c r="AH323" s="41"/>
      <c r="AI323" s="41"/>
      <c r="AJ323" s="41"/>
      <c r="AK323" s="41"/>
      <c r="BI323" s="41"/>
      <c r="BT323" s="48"/>
      <c r="BU323" s="47"/>
      <c r="CG323" s="48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</row>
    <row r="324" spans="1:161" x14ac:dyDescent="0.25">
      <c r="A324" s="41"/>
      <c r="AC324" s="41"/>
      <c r="AD324" s="41"/>
      <c r="AE324" s="41"/>
      <c r="AF324" s="41"/>
      <c r="AG324" s="41"/>
      <c r="AH324" s="41"/>
      <c r="AI324" s="41"/>
      <c r="AJ324" s="41"/>
      <c r="AK324" s="41"/>
      <c r="BI324" s="41"/>
      <c r="BT324" s="48"/>
      <c r="BU324" s="47"/>
      <c r="CG324" s="48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  <c r="EL324" s="41"/>
      <c r="EM324" s="41"/>
      <c r="EN324" s="41"/>
      <c r="EO324" s="41"/>
      <c r="EP324" s="41"/>
      <c r="EQ324" s="41"/>
      <c r="ER324" s="41"/>
      <c r="ES324" s="41"/>
      <c r="ET324" s="41"/>
      <c r="EU324" s="41"/>
      <c r="EV324" s="41"/>
      <c r="EW324" s="41"/>
      <c r="EX324" s="41"/>
      <c r="EY324" s="41"/>
      <c r="EZ324" s="41"/>
      <c r="FA324" s="41"/>
      <c r="FB324" s="41"/>
      <c r="FC324" s="41"/>
      <c r="FD324" s="41"/>
      <c r="FE324" s="41"/>
    </row>
    <row r="325" spans="1:161" x14ac:dyDescent="0.25">
      <c r="A325" s="41"/>
      <c r="AC325" s="41"/>
      <c r="AD325" s="41"/>
      <c r="AE325" s="41"/>
      <c r="AF325" s="41"/>
      <c r="AG325" s="41"/>
      <c r="AH325" s="41"/>
      <c r="AI325" s="41"/>
      <c r="AJ325" s="41"/>
      <c r="AK325" s="41"/>
      <c r="BI325" s="41"/>
      <c r="BT325" s="48"/>
      <c r="BU325" s="47"/>
      <c r="CG325" s="48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  <c r="DL325" s="41"/>
      <c r="DM325" s="41"/>
      <c r="DN325" s="41"/>
      <c r="DO325" s="41"/>
      <c r="DP325" s="41"/>
      <c r="DQ325" s="41"/>
      <c r="DR325" s="41"/>
      <c r="DS325" s="41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41"/>
      <c r="EF325" s="41"/>
      <c r="EG325" s="41"/>
      <c r="EH325" s="41"/>
      <c r="EI325" s="41"/>
      <c r="EJ325" s="41"/>
      <c r="EK325" s="41"/>
      <c r="EL325" s="41"/>
      <c r="EM325" s="41"/>
      <c r="EN325" s="41"/>
      <c r="EO325" s="41"/>
      <c r="EP325" s="41"/>
      <c r="EQ325" s="41"/>
      <c r="ER325" s="41"/>
      <c r="ES325" s="41"/>
      <c r="ET325" s="41"/>
      <c r="EU325" s="41"/>
      <c r="EV325" s="41"/>
      <c r="EW325" s="41"/>
      <c r="EX325" s="41"/>
      <c r="EY325" s="41"/>
      <c r="EZ325" s="41"/>
      <c r="FA325" s="41"/>
      <c r="FB325" s="41"/>
      <c r="FC325" s="41"/>
      <c r="FD325" s="41"/>
      <c r="FE325" s="41"/>
    </row>
    <row r="326" spans="1:161" x14ac:dyDescent="0.25">
      <c r="A326" s="41"/>
      <c r="AC326" s="41"/>
      <c r="AD326" s="41"/>
      <c r="AE326" s="41"/>
      <c r="AF326" s="41"/>
      <c r="AG326" s="41"/>
      <c r="AH326" s="41"/>
      <c r="AI326" s="41"/>
      <c r="AJ326" s="41"/>
      <c r="AK326" s="41"/>
      <c r="BI326" s="41"/>
      <c r="BT326" s="48"/>
      <c r="BU326" s="47"/>
      <c r="CG326" s="48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  <c r="DL326" s="41"/>
      <c r="DM326" s="41"/>
      <c r="DN326" s="41"/>
      <c r="DO326" s="41"/>
      <c r="DP326" s="41"/>
      <c r="DQ326" s="41"/>
      <c r="DR326" s="41"/>
      <c r="DS326" s="41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41"/>
      <c r="EF326" s="41"/>
      <c r="EG326" s="41"/>
      <c r="EH326" s="41"/>
      <c r="EI326" s="41"/>
      <c r="EJ326" s="41"/>
      <c r="EK326" s="41"/>
      <c r="EL326" s="41"/>
      <c r="EM326" s="41"/>
      <c r="EN326" s="41"/>
      <c r="EO326" s="41"/>
      <c r="EP326" s="41"/>
      <c r="EQ326" s="41"/>
      <c r="ER326" s="41"/>
      <c r="ES326" s="41"/>
      <c r="ET326" s="41"/>
      <c r="EU326" s="41"/>
      <c r="EV326" s="41"/>
      <c r="EW326" s="41"/>
      <c r="EX326" s="41"/>
      <c r="EY326" s="41"/>
      <c r="EZ326" s="41"/>
      <c r="FA326" s="41"/>
      <c r="FB326" s="41"/>
      <c r="FC326" s="41"/>
      <c r="FD326" s="41"/>
      <c r="FE326" s="41"/>
    </row>
    <row r="327" spans="1:161" x14ac:dyDescent="0.25">
      <c r="A327" s="41"/>
      <c r="AC327" s="41"/>
      <c r="AD327" s="41"/>
      <c r="AE327" s="41"/>
      <c r="AF327" s="41"/>
      <c r="AG327" s="41"/>
      <c r="AH327" s="41"/>
      <c r="AI327" s="41"/>
      <c r="AJ327" s="41"/>
      <c r="AK327" s="41"/>
      <c r="BI327" s="41"/>
      <c r="BT327" s="48"/>
      <c r="BU327" s="47"/>
      <c r="CG327" s="48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  <c r="EO327" s="41"/>
      <c r="EP327" s="41"/>
      <c r="EQ327" s="41"/>
      <c r="ER327" s="41"/>
      <c r="ES327" s="41"/>
      <c r="ET327" s="41"/>
      <c r="EU327" s="41"/>
      <c r="EV327" s="41"/>
      <c r="EW327" s="41"/>
      <c r="EX327" s="41"/>
      <c r="EY327" s="41"/>
      <c r="EZ327" s="41"/>
      <c r="FA327" s="41"/>
      <c r="FB327" s="41"/>
      <c r="FC327" s="41"/>
      <c r="FD327" s="41"/>
      <c r="FE327" s="41"/>
    </row>
    <row r="328" spans="1:161" x14ac:dyDescent="0.25">
      <c r="A328" s="41"/>
      <c r="AC328" s="41"/>
      <c r="AD328" s="41"/>
      <c r="AE328" s="41"/>
      <c r="AF328" s="41"/>
      <c r="AG328" s="41"/>
      <c r="AH328" s="41"/>
      <c r="AI328" s="41"/>
      <c r="AJ328" s="41"/>
      <c r="AK328" s="41"/>
      <c r="BI328" s="41"/>
      <c r="BT328" s="48"/>
      <c r="BU328" s="47"/>
      <c r="CG328" s="48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  <c r="EO328" s="41"/>
      <c r="EP328" s="41"/>
      <c r="EQ328" s="41"/>
      <c r="ER328" s="41"/>
      <c r="ES328" s="41"/>
      <c r="ET328" s="41"/>
      <c r="EU328" s="41"/>
      <c r="EV328" s="41"/>
      <c r="EW328" s="41"/>
      <c r="EX328" s="41"/>
      <c r="EY328" s="41"/>
      <c r="EZ328" s="41"/>
      <c r="FA328" s="41"/>
      <c r="FB328" s="41"/>
      <c r="FC328" s="41"/>
      <c r="FD328" s="41"/>
      <c r="FE328" s="41"/>
    </row>
    <row r="329" spans="1:161" x14ac:dyDescent="0.25">
      <c r="A329" s="41"/>
      <c r="AC329" s="41"/>
      <c r="AD329" s="41"/>
      <c r="AE329" s="41"/>
      <c r="AF329" s="41"/>
      <c r="AG329" s="41"/>
      <c r="AH329" s="41"/>
      <c r="AI329" s="41"/>
      <c r="AJ329" s="41"/>
      <c r="AK329" s="41"/>
      <c r="BI329" s="41"/>
      <c r="BT329" s="48"/>
      <c r="BU329" s="47"/>
      <c r="CG329" s="48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  <c r="EL329" s="41"/>
      <c r="EM329" s="41"/>
      <c r="EN329" s="41"/>
      <c r="EO329" s="41"/>
      <c r="EP329" s="41"/>
      <c r="EQ329" s="41"/>
      <c r="ER329" s="41"/>
      <c r="ES329" s="41"/>
      <c r="ET329" s="41"/>
      <c r="EU329" s="41"/>
      <c r="EV329" s="41"/>
      <c r="EW329" s="41"/>
      <c r="EX329" s="41"/>
      <c r="EY329" s="41"/>
      <c r="EZ329" s="41"/>
      <c r="FA329" s="41"/>
      <c r="FB329" s="41"/>
      <c r="FC329" s="41"/>
      <c r="FD329" s="41"/>
      <c r="FE329" s="41"/>
    </row>
    <row r="330" spans="1:161" x14ac:dyDescent="0.25">
      <c r="A330" s="41"/>
      <c r="AC330" s="41"/>
      <c r="AD330" s="41"/>
      <c r="AE330" s="41"/>
      <c r="AF330" s="41"/>
      <c r="AG330" s="41"/>
      <c r="AH330" s="41"/>
      <c r="AI330" s="41"/>
      <c r="AJ330" s="41"/>
      <c r="AK330" s="41"/>
      <c r="BI330" s="41"/>
      <c r="BT330" s="48"/>
      <c r="BU330" s="47"/>
      <c r="CG330" s="48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41"/>
      <c r="DS330" s="41"/>
      <c r="DT330" s="41"/>
      <c r="DU330" s="41"/>
      <c r="DV330" s="41"/>
      <c r="DW330" s="41"/>
      <c r="DX330" s="41"/>
      <c r="DY330" s="41"/>
      <c r="DZ330" s="41"/>
      <c r="EA330" s="41"/>
      <c r="EB330" s="41"/>
      <c r="EC330" s="41"/>
      <c r="ED330" s="41"/>
      <c r="EE330" s="41"/>
      <c r="EF330" s="41"/>
      <c r="EG330" s="41"/>
      <c r="EH330" s="41"/>
      <c r="EI330" s="41"/>
      <c r="EJ330" s="41"/>
      <c r="EK330" s="41"/>
      <c r="EL330" s="41"/>
      <c r="EM330" s="41"/>
      <c r="EN330" s="41"/>
      <c r="EO330" s="41"/>
      <c r="EP330" s="41"/>
      <c r="EQ330" s="41"/>
      <c r="ER330" s="41"/>
      <c r="ES330" s="41"/>
      <c r="ET330" s="41"/>
      <c r="EU330" s="41"/>
      <c r="EV330" s="41"/>
      <c r="EW330" s="41"/>
      <c r="EX330" s="41"/>
      <c r="EY330" s="41"/>
      <c r="EZ330" s="41"/>
      <c r="FA330" s="41"/>
      <c r="FB330" s="41"/>
      <c r="FC330" s="41"/>
      <c r="FD330" s="41"/>
      <c r="FE330" s="41"/>
    </row>
    <row r="331" spans="1:161" x14ac:dyDescent="0.25">
      <c r="A331" s="41"/>
      <c r="AC331" s="41"/>
      <c r="AD331" s="41"/>
      <c r="AE331" s="41"/>
      <c r="AF331" s="41"/>
      <c r="AG331" s="41"/>
      <c r="AH331" s="41"/>
      <c r="AI331" s="41"/>
      <c r="AJ331" s="41"/>
      <c r="AK331" s="41"/>
      <c r="BI331" s="41"/>
      <c r="BT331" s="48"/>
      <c r="BU331" s="47"/>
      <c r="CG331" s="48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  <c r="DK331" s="41"/>
      <c r="DL331" s="41"/>
      <c r="DM331" s="41"/>
      <c r="DN331" s="41"/>
      <c r="DO331" s="41"/>
      <c r="DP331" s="41"/>
      <c r="DQ331" s="41"/>
      <c r="DR331" s="41"/>
      <c r="DS331" s="41"/>
      <c r="DT331" s="41"/>
      <c r="DU331" s="41"/>
      <c r="DV331" s="41"/>
      <c r="DW331" s="41"/>
      <c r="DX331" s="41"/>
      <c r="DY331" s="41"/>
      <c r="DZ331" s="41"/>
      <c r="EA331" s="41"/>
      <c r="EB331" s="41"/>
      <c r="EC331" s="41"/>
      <c r="ED331" s="41"/>
      <c r="EE331" s="41"/>
      <c r="EF331" s="41"/>
      <c r="EG331" s="41"/>
      <c r="EH331" s="41"/>
      <c r="EI331" s="41"/>
      <c r="EJ331" s="41"/>
      <c r="EK331" s="41"/>
      <c r="EL331" s="41"/>
      <c r="EM331" s="41"/>
      <c r="EN331" s="41"/>
      <c r="EO331" s="41"/>
      <c r="EP331" s="41"/>
      <c r="EQ331" s="41"/>
      <c r="ER331" s="41"/>
      <c r="ES331" s="41"/>
      <c r="ET331" s="41"/>
      <c r="EU331" s="41"/>
      <c r="EV331" s="41"/>
      <c r="EW331" s="41"/>
      <c r="EX331" s="41"/>
      <c r="EY331" s="41"/>
      <c r="EZ331" s="41"/>
      <c r="FA331" s="41"/>
      <c r="FB331" s="41"/>
      <c r="FC331" s="41"/>
      <c r="FD331" s="41"/>
      <c r="FE331" s="41"/>
    </row>
    <row r="332" spans="1:161" x14ac:dyDescent="0.25">
      <c r="A332" s="41"/>
      <c r="AC332" s="41"/>
      <c r="AD332" s="41"/>
      <c r="AE332" s="41"/>
      <c r="AF332" s="41"/>
      <c r="AG332" s="41"/>
      <c r="AH332" s="41"/>
      <c r="AI332" s="41"/>
      <c r="AJ332" s="41"/>
      <c r="AK332" s="41"/>
      <c r="BI332" s="41"/>
      <c r="BT332" s="48"/>
      <c r="BU332" s="47"/>
      <c r="CG332" s="48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1"/>
      <c r="DJ332" s="41"/>
      <c r="DK332" s="41"/>
      <c r="DL332" s="41"/>
      <c r="DM332" s="41"/>
      <c r="DN332" s="41"/>
      <c r="DO332" s="41"/>
      <c r="DP332" s="41"/>
      <c r="DQ332" s="41"/>
      <c r="DR332" s="41"/>
      <c r="DS332" s="41"/>
      <c r="DT332" s="41"/>
      <c r="DU332" s="41"/>
      <c r="DV332" s="41"/>
      <c r="DW332" s="41"/>
      <c r="DX332" s="41"/>
      <c r="DY332" s="41"/>
      <c r="DZ332" s="41"/>
      <c r="EA332" s="41"/>
      <c r="EB332" s="41"/>
      <c r="EC332" s="41"/>
      <c r="ED332" s="41"/>
      <c r="EE332" s="41"/>
      <c r="EF332" s="41"/>
      <c r="EG332" s="41"/>
      <c r="EH332" s="41"/>
      <c r="EI332" s="41"/>
      <c r="EJ332" s="41"/>
      <c r="EK332" s="41"/>
      <c r="EL332" s="41"/>
      <c r="EM332" s="41"/>
      <c r="EN332" s="41"/>
      <c r="EO332" s="41"/>
      <c r="EP332" s="41"/>
      <c r="EQ332" s="41"/>
      <c r="ER332" s="41"/>
      <c r="ES332" s="41"/>
      <c r="ET332" s="41"/>
      <c r="EU332" s="41"/>
      <c r="EV332" s="41"/>
      <c r="EW332" s="41"/>
      <c r="EX332" s="41"/>
      <c r="EY332" s="41"/>
      <c r="EZ332" s="41"/>
      <c r="FA332" s="41"/>
      <c r="FB332" s="41"/>
      <c r="FC332" s="41"/>
      <c r="FD332" s="41"/>
      <c r="FE332" s="41"/>
    </row>
    <row r="333" spans="1:161" x14ac:dyDescent="0.25">
      <c r="A333" s="41"/>
      <c r="AC333" s="41"/>
      <c r="AD333" s="41"/>
      <c r="AE333" s="41"/>
      <c r="AF333" s="41"/>
      <c r="AG333" s="41"/>
      <c r="AH333" s="41"/>
      <c r="AI333" s="41"/>
      <c r="AJ333" s="41"/>
      <c r="AK333" s="41"/>
      <c r="BI333" s="41"/>
      <c r="BT333" s="48"/>
      <c r="BU333" s="47"/>
      <c r="CG333" s="48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  <c r="DL333" s="41"/>
      <c r="DM333" s="41"/>
      <c r="DN333" s="41"/>
      <c r="DO333" s="41"/>
      <c r="DP333" s="41"/>
      <c r="DQ333" s="41"/>
      <c r="DR333" s="41"/>
      <c r="DS333" s="41"/>
      <c r="DT333" s="41"/>
      <c r="DU333" s="41"/>
      <c r="DV333" s="41"/>
      <c r="DW333" s="41"/>
      <c r="DX333" s="41"/>
      <c r="DY333" s="41"/>
      <c r="DZ333" s="41"/>
      <c r="EA333" s="41"/>
      <c r="EB333" s="41"/>
      <c r="EC333" s="41"/>
      <c r="ED333" s="41"/>
      <c r="EE333" s="41"/>
      <c r="EF333" s="41"/>
      <c r="EG333" s="41"/>
      <c r="EH333" s="41"/>
      <c r="EI333" s="41"/>
      <c r="EJ333" s="41"/>
      <c r="EK333" s="41"/>
      <c r="EL333" s="41"/>
      <c r="EM333" s="41"/>
      <c r="EN333" s="41"/>
      <c r="EO333" s="41"/>
      <c r="EP333" s="41"/>
      <c r="EQ333" s="41"/>
      <c r="ER333" s="41"/>
      <c r="ES333" s="41"/>
      <c r="ET333" s="41"/>
      <c r="EU333" s="41"/>
      <c r="EV333" s="41"/>
      <c r="EW333" s="41"/>
      <c r="EX333" s="41"/>
      <c r="EY333" s="41"/>
      <c r="EZ333" s="41"/>
      <c r="FA333" s="41"/>
      <c r="FB333" s="41"/>
      <c r="FC333" s="41"/>
      <c r="FD333" s="41"/>
      <c r="FE333" s="41"/>
    </row>
    <row r="334" spans="1:161" x14ac:dyDescent="0.25">
      <c r="A334" s="41"/>
      <c r="AC334" s="41"/>
      <c r="AD334" s="41"/>
      <c r="AE334" s="41"/>
      <c r="AF334" s="41"/>
      <c r="AG334" s="41"/>
      <c r="AH334" s="41"/>
      <c r="AI334" s="41"/>
      <c r="AJ334" s="41"/>
      <c r="AK334" s="41"/>
      <c r="BI334" s="41"/>
      <c r="BT334" s="48"/>
      <c r="BU334" s="47"/>
      <c r="CG334" s="48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41"/>
      <c r="DI334" s="41"/>
      <c r="DJ334" s="41"/>
      <c r="DK334" s="41"/>
      <c r="DL334" s="41"/>
      <c r="DM334" s="41"/>
      <c r="DN334" s="41"/>
      <c r="DO334" s="41"/>
      <c r="DP334" s="41"/>
      <c r="DQ334" s="41"/>
      <c r="DR334" s="41"/>
      <c r="DS334" s="41"/>
      <c r="DT334" s="41"/>
      <c r="DU334" s="41"/>
      <c r="DV334" s="41"/>
      <c r="DW334" s="41"/>
      <c r="DX334" s="41"/>
      <c r="DY334" s="41"/>
      <c r="DZ334" s="41"/>
      <c r="EA334" s="41"/>
      <c r="EB334" s="41"/>
      <c r="EC334" s="41"/>
      <c r="ED334" s="41"/>
      <c r="EE334" s="41"/>
      <c r="EF334" s="41"/>
      <c r="EG334" s="41"/>
      <c r="EH334" s="41"/>
      <c r="EI334" s="41"/>
      <c r="EJ334" s="41"/>
      <c r="EK334" s="41"/>
      <c r="EL334" s="41"/>
      <c r="EM334" s="41"/>
      <c r="EN334" s="41"/>
      <c r="EO334" s="41"/>
      <c r="EP334" s="41"/>
      <c r="EQ334" s="41"/>
      <c r="ER334" s="41"/>
      <c r="ES334" s="41"/>
      <c r="ET334" s="41"/>
      <c r="EU334" s="41"/>
      <c r="EV334" s="41"/>
      <c r="EW334" s="41"/>
      <c r="EX334" s="41"/>
      <c r="EY334" s="41"/>
      <c r="EZ334" s="41"/>
      <c r="FA334" s="41"/>
      <c r="FB334" s="41"/>
      <c r="FC334" s="41"/>
      <c r="FD334" s="41"/>
      <c r="FE334" s="41"/>
    </row>
    <row r="335" spans="1:161" x14ac:dyDescent="0.25">
      <c r="A335" s="41"/>
      <c r="AC335" s="41"/>
      <c r="AD335" s="41"/>
      <c r="AE335" s="41"/>
      <c r="AF335" s="41"/>
      <c r="AG335" s="41"/>
      <c r="AH335" s="41"/>
      <c r="AI335" s="41"/>
      <c r="AJ335" s="41"/>
      <c r="AK335" s="41"/>
      <c r="BI335" s="41"/>
      <c r="BT335" s="48"/>
      <c r="BU335" s="47"/>
      <c r="CG335" s="48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41"/>
      <c r="DI335" s="41"/>
      <c r="DJ335" s="41"/>
      <c r="DK335" s="41"/>
      <c r="DL335" s="41"/>
      <c r="DM335" s="41"/>
      <c r="DN335" s="41"/>
      <c r="DO335" s="41"/>
      <c r="DP335" s="41"/>
      <c r="DQ335" s="41"/>
      <c r="DR335" s="41"/>
      <c r="DS335" s="41"/>
      <c r="DT335" s="41"/>
      <c r="DU335" s="41"/>
      <c r="DV335" s="41"/>
      <c r="DW335" s="41"/>
      <c r="DX335" s="41"/>
      <c r="DY335" s="41"/>
      <c r="DZ335" s="41"/>
      <c r="EA335" s="41"/>
      <c r="EB335" s="41"/>
      <c r="EC335" s="41"/>
      <c r="ED335" s="41"/>
      <c r="EE335" s="41"/>
      <c r="EF335" s="41"/>
      <c r="EG335" s="41"/>
      <c r="EH335" s="41"/>
      <c r="EI335" s="41"/>
      <c r="EJ335" s="41"/>
      <c r="EK335" s="41"/>
      <c r="EL335" s="41"/>
      <c r="EM335" s="41"/>
      <c r="EN335" s="41"/>
      <c r="EO335" s="41"/>
      <c r="EP335" s="41"/>
      <c r="EQ335" s="41"/>
      <c r="ER335" s="41"/>
      <c r="ES335" s="41"/>
      <c r="ET335" s="41"/>
      <c r="EU335" s="41"/>
      <c r="EV335" s="41"/>
      <c r="EW335" s="41"/>
      <c r="EX335" s="41"/>
      <c r="EY335" s="41"/>
      <c r="EZ335" s="41"/>
      <c r="FA335" s="41"/>
      <c r="FB335" s="41"/>
      <c r="FC335" s="41"/>
      <c r="FD335" s="41"/>
      <c r="FE335" s="41"/>
    </row>
    <row r="336" spans="1:161" x14ac:dyDescent="0.25">
      <c r="A336" s="41"/>
      <c r="AC336" s="41"/>
      <c r="AD336" s="41"/>
      <c r="AE336" s="41"/>
      <c r="AF336" s="41"/>
      <c r="AG336" s="41"/>
      <c r="AH336" s="41"/>
      <c r="AI336" s="41"/>
      <c r="AJ336" s="41"/>
      <c r="AK336" s="41"/>
      <c r="BI336" s="41"/>
      <c r="BT336" s="48"/>
      <c r="BU336" s="47"/>
      <c r="CG336" s="48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  <c r="DG336" s="41"/>
      <c r="DH336" s="41"/>
      <c r="DI336" s="41"/>
      <c r="DJ336" s="41"/>
      <c r="DK336" s="41"/>
      <c r="DL336" s="41"/>
      <c r="DM336" s="41"/>
      <c r="DN336" s="41"/>
      <c r="DO336" s="41"/>
      <c r="DP336" s="41"/>
      <c r="DQ336" s="41"/>
      <c r="DR336" s="41"/>
      <c r="DS336" s="41"/>
      <c r="DT336" s="41"/>
      <c r="DU336" s="41"/>
      <c r="DV336" s="41"/>
      <c r="DW336" s="41"/>
      <c r="DX336" s="41"/>
      <c r="DY336" s="41"/>
      <c r="DZ336" s="41"/>
      <c r="EA336" s="41"/>
      <c r="EB336" s="41"/>
      <c r="EC336" s="41"/>
      <c r="ED336" s="41"/>
      <c r="EE336" s="41"/>
      <c r="EF336" s="41"/>
      <c r="EG336" s="41"/>
      <c r="EH336" s="41"/>
      <c r="EI336" s="41"/>
      <c r="EJ336" s="41"/>
      <c r="EK336" s="41"/>
      <c r="EL336" s="41"/>
      <c r="EM336" s="41"/>
      <c r="EN336" s="41"/>
      <c r="EO336" s="41"/>
      <c r="EP336" s="41"/>
      <c r="EQ336" s="41"/>
      <c r="ER336" s="41"/>
      <c r="ES336" s="41"/>
      <c r="ET336" s="41"/>
      <c r="EU336" s="41"/>
      <c r="EV336" s="41"/>
      <c r="EW336" s="41"/>
      <c r="EX336" s="41"/>
      <c r="EY336" s="41"/>
      <c r="EZ336" s="41"/>
      <c r="FA336" s="41"/>
      <c r="FB336" s="41"/>
      <c r="FC336" s="41"/>
      <c r="FD336" s="41"/>
      <c r="FE336" s="41"/>
    </row>
    <row r="337" spans="1:161" x14ac:dyDescent="0.25">
      <c r="A337" s="41"/>
      <c r="AC337" s="41"/>
      <c r="AD337" s="41"/>
      <c r="AE337" s="41"/>
      <c r="AF337" s="41"/>
      <c r="AG337" s="41"/>
      <c r="AH337" s="41"/>
      <c r="AI337" s="41"/>
      <c r="AJ337" s="41"/>
      <c r="AK337" s="41"/>
      <c r="BI337" s="41"/>
      <c r="BT337" s="48"/>
      <c r="BU337" s="47"/>
      <c r="CG337" s="48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  <c r="DG337" s="41"/>
      <c r="DH337" s="41"/>
      <c r="DI337" s="41"/>
      <c r="DJ337" s="41"/>
      <c r="DK337" s="41"/>
      <c r="DL337" s="41"/>
      <c r="DM337" s="41"/>
      <c r="DN337" s="41"/>
      <c r="DO337" s="41"/>
      <c r="DP337" s="41"/>
      <c r="DQ337" s="41"/>
      <c r="DR337" s="41"/>
      <c r="DS337" s="41"/>
      <c r="DT337" s="41"/>
      <c r="DU337" s="41"/>
      <c r="DV337" s="41"/>
      <c r="DW337" s="41"/>
      <c r="DX337" s="41"/>
      <c r="DY337" s="41"/>
      <c r="DZ337" s="41"/>
      <c r="EA337" s="41"/>
      <c r="EB337" s="41"/>
      <c r="EC337" s="41"/>
      <c r="ED337" s="41"/>
      <c r="EE337" s="41"/>
      <c r="EF337" s="41"/>
      <c r="EG337" s="41"/>
      <c r="EH337" s="41"/>
      <c r="EI337" s="41"/>
      <c r="EJ337" s="41"/>
      <c r="EK337" s="41"/>
      <c r="EL337" s="41"/>
      <c r="EM337" s="41"/>
      <c r="EN337" s="41"/>
      <c r="EO337" s="41"/>
      <c r="EP337" s="41"/>
      <c r="EQ337" s="41"/>
      <c r="ER337" s="41"/>
      <c r="ES337" s="41"/>
      <c r="ET337" s="41"/>
      <c r="EU337" s="41"/>
      <c r="EV337" s="41"/>
      <c r="EW337" s="41"/>
      <c r="EX337" s="41"/>
      <c r="EY337" s="41"/>
      <c r="EZ337" s="41"/>
      <c r="FA337" s="41"/>
      <c r="FB337" s="41"/>
      <c r="FC337" s="41"/>
      <c r="FD337" s="41"/>
      <c r="FE337" s="41"/>
    </row>
    <row r="338" spans="1:161" x14ac:dyDescent="0.25">
      <c r="A338" s="41"/>
      <c r="AC338" s="41"/>
      <c r="AD338" s="41"/>
      <c r="AE338" s="41"/>
      <c r="AF338" s="41"/>
      <c r="AG338" s="41"/>
      <c r="AH338" s="41"/>
      <c r="AI338" s="41"/>
      <c r="AJ338" s="41"/>
      <c r="AK338" s="41"/>
      <c r="BI338" s="41"/>
      <c r="BT338" s="48"/>
      <c r="BU338" s="47"/>
      <c r="CG338" s="48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  <c r="DL338" s="41"/>
      <c r="DM338" s="41"/>
      <c r="DN338" s="41"/>
      <c r="DO338" s="41"/>
      <c r="DP338" s="41"/>
      <c r="DQ338" s="41"/>
      <c r="DR338" s="41"/>
      <c r="DS338" s="41"/>
      <c r="DT338" s="41"/>
      <c r="DU338" s="41"/>
      <c r="DV338" s="41"/>
      <c r="DW338" s="41"/>
      <c r="DX338" s="41"/>
      <c r="DY338" s="41"/>
      <c r="DZ338" s="41"/>
      <c r="EA338" s="41"/>
      <c r="EB338" s="41"/>
      <c r="EC338" s="41"/>
      <c r="ED338" s="41"/>
      <c r="EE338" s="41"/>
      <c r="EF338" s="41"/>
      <c r="EG338" s="41"/>
      <c r="EH338" s="41"/>
      <c r="EI338" s="41"/>
      <c r="EJ338" s="41"/>
      <c r="EK338" s="41"/>
      <c r="EL338" s="41"/>
      <c r="EM338" s="41"/>
      <c r="EN338" s="41"/>
      <c r="EO338" s="41"/>
      <c r="EP338" s="41"/>
      <c r="EQ338" s="41"/>
      <c r="ER338" s="41"/>
      <c r="ES338" s="41"/>
      <c r="ET338" s="41"/>
      <c r="EU338" s="41"/>
      <c r="EV338" s="41"/>
      <c r="EW338" s="41"/>
      <c r="EX338" s="41"/>
      <c r="EY338" s="41"/>
      <c r="EZ338" s="41"/>
      <c r="FA338" s="41"/>
      <c r="FB338" s="41"/>
      <c r="FC338" s="41"/>
      <c r="FD338" s="41"/>
      <c r="FE338" s="41"/>
    </row>
    <row r="339" spans="1:161" x14ac:dyDescent="0.25">
      <c r="A339" s="41"/>
      <c r="AC339" s="41"/>
      <c r="AD339" s="41"/>
      <c r="AE339" s="41"/>
      <c r="AF339" s="41"/>
      <c r="AG339" s="41"/>
      <c r="AH339" s="41"/>
      <c r="AI339" s="41"/>
      <c r="AJ339" s="41"/>
      <c r="AK339" s="41"/>
      <c r="BI339" s="41"/>
      <c r="BT339" s="48"/>
      <c r="BU339" s="47"/>
      <c r="CG339" s="48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41"/>
      <c r="DI339" s="41"/>
      <c r="DJ339" s="41"/>
      <c r="DK339" s="41"/>
      <c r="DL339" s="41"/>
      <c r="DM339" s="41"/>
      <c r="DN339" s="41"/>
      <c r="DO339" s="41"/>
      <c r="DP339" s="41"/>
      <c r="DQ339" s="41"/>
      <c r="DR339" s="41"/>
      <c r="DS339" s="41"/>
      <c r="DT339" s="41"/>
      <c r="DU339" s="41"/>
      <c r="DV339" s="41"/>
      <c r="DW339" s="41"/>
      <c r="DX339" s="41"/>
      <c r="DY339" s="41"/>
      <c r="DZ339" s="41"/>
      <c r="EA339" s="41"/>
      <c r="EB339" s="41"/>
      <c r="EC339" s="41"/>
      <c r="ED339" s="41"/>
      <c r="EE339" s="41"/>
      <c r="EF339" s="41"/>
      <c r="EG339" s="41"/>
      <c r="EH339" s="41"/>
      <c r="EI339" s="41"/>
      <c r="EJ339" s="41"/>
      <c r="EK339" s="41"/>
      <c r="EL339" s="41"/>
      <c r="EM339" s="41"/>
      <c r="EN339" s="41"/>
      <c r="EO339" s="41"/>
      <c r="EP339" s="41"/>
      <c r="EQ339" s="41"/>
      <c r="ER339" s="41"/>
      <c r="ES339" s="41"/>
      <c r="ET339" s="41"/>
      <c r="EU339" s="41"/>
      <c r="EV339" s="41"/>
      <c r="EW339" s="41"/>
      <c r="EX339" s="41"/>
      <c r="EY339" s="41"/>
      <c r="EZ339" s="41"/>
      <c r="FA339" s="41"/>
      <c r="FB339" s="41"/>
      <c r="FC339" s="41"/>
      <c r="FD339" s="41"/>
      <c r="FE339" s="41"/>
    </row>
    <row r="340" spans="1:161" x14ac:dyDescent="0.25">
      <c r="A340" s="41"/>
      <c r="AC340" s="41"/>
      <c r="AD340" s="41"/>
      <c r="AE340" s="41"/>
      <c r="AF340" s="41"/>
      <c r="AG340" s="41"/>
      <c r="AH340" s="41"/>
      <c r="AI340" s="41"/>
      <c r="AJ340" s="41"/>
      <c r="AK340" s="41"/>
      <c r="BI340" s="41"/>
      <c r="BT340" s="48"/>
      <c r="BU340" s="47"/>
      <c r="CG340" s="48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1"/>
      <c r="DJ340" s="41"/>
      <c r="DK340" s="41"/>
      <c r="DL340" s="41"/>
      <c r="DM340" s="41"/>
      <c r="DN340" s="41"/>
      <c r="DO340" s="41"/>
      <c r="DP340" s="41"/>
      <c r="DQ340" s="41"/>
      <c r="DR340" s="41"/>
      <c r="DS340" s="41"/>
      <c r="DT340" s="41"/>
      <c r="DU340" s="41"/>
      <c r="DV340" s="41"/>
      <c r="DW340" s="41"/>
      <c r="DX340" s="41"/>
      <c r="DY340" s="41"/>
      <c r="DZ340" s="41"/>
      <c r="EA340" s="41"/>
      <c r="EB340" s="41"/>
      <c r="EC340" s="41"/>
      <c r="ED340" s="41"/>
      <c r="EE340" s="41"/>
      <c r="EF340" s="41"/>
      <c r="EG340" s="41"/>
      <c r="EH340" s="41"/>
      <c r="EI340" s="41"/>
      <c r="EJ340" s="41"/>
      <c r="EK340" s="41"/>
      <c r="EL340" s="41"/>
      <c r="EM340" s="41"/>
      <c r="EN340" s="41"/>
      <c r="EO340" s="41"/>
      <c r="EP340" s="41"/>
      <c r="EQ340" s="41"/>
      <c r="ER340" s="41"/>
      <c r="ES340" s="41"/>
      <c r="ET340" s="41"/>
      <c r="EU340" s="41"/>
      <c r="EV340" s="41"/>
      <c r="EW340" s="41"/>
      <c r="EX340" s="41"/>
      <c r="EY340" s="41"/>
      <c r="EZ340" s="41"/>
      <c r="FA340" s="41"/>
      <c r="FB340" s="41"/>
      <c r="FC340" s="41"/>
      <c r="FD340" s="41"/>
      <c r="FE340" s="41"/>
    </row>
    <row r="341" spans="1:161" x14ac:dyDescent="0.25">
      <c r="A341" s="41"/>
      <c r="AC341" s="41"/>
      <c r="AD341" s="41"/>
      <c r="AE341" s="41"/>
      <c r="AF341" s="41"/>
      <c r="AG341" s="41"/>
      <c r="AH341" s="41"/>
      <c r="AI341" s="41"/>
      <c r="AJ341" s="41"/>
      <c r="AK341" s="41"/>
      <c r="BI341" s="41"/>
      <c r="BT341" s="48"/>
      <c r="BU341" s="47"/>
      <c r="CG341" s="48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  <c r="DG341" s="41"/>
      <c r="DH341" s="41"/>
      <c r="DI341" s="41"/>
      <c r="DJ341" s="41"/>
      <c r="DK341" s="41"/>
      <c r="DL341" s="41"/>
      <c r="DM341" s="41"/>
      <c r="DN341" s="41"/>
      <c r="DO341" s="41"/>
      <c r="DP341" s="41"/>
      <c r="DQ341" s="41"/>
      <c r="DR341" s="41"/>
      <c r="DS341" s="41"/>
      <c r="DT341" s="41"/>
      <c r="DU341" s="41"/>
      <c r="DV341" s="41"/>
      <c r="DW341" s="41"/>
      <c r="DX341" s="41"/>
      <c r="DY341" s="41"/>
      <c r="DZ341" s="41"/>
      <c r="EA341" s="41"/>
      <c r="EB341" s="41"/>
      <c r="EC341" s="41"/>
      <c r="ED341" s="41"/>
      <c r="EE341" s="41"/>
      <c r="EF341" s="41"/>
      <c r="EG341" s="41"/>
      <c r="EH341" s="41"/>
      <c r="EI341" s="41"/>
      <c r="EJ341" s="41"/>
      <c r="EK341" s="41"/>
      <c r="EL341" s="41"/>
      <c r="EM341" s="41"/>
      <c r="EN341" s="41"/>
      <c r="EO341" s="41"/>
      <c r="EP341" s="41"/>
      <c r="EQ341" s="41"/>
      <c r="ER341" s="41"/>
      <c r="ES341" s="41"/>
      <c r="ET341" s="41"/>
      <c r="EU341" s="41"/>
      <c r="EV341" s="41"/>
      <c r="EW341" s="41"/>
      <c r="EX341" s="41"/>
      <c r="EY341" s="41"/>
      <c r="EZ341" s="41"/>
      <c r="FA341" s="41"/>
      <c r="FB341" s="41"/>
      <c r="FC341" s="41"/>
      <c r="FD341" s="41"/>
      <c r="FE341" s="41"/>
    </row>
    <row r="342" spans="1:161" x14ac:dyDescent="0.25">
      <c r="A342" s="41"/>
      <c r="AC342" s="41"/>
      <c r="AD342" s="41"/>
      <c r="AE342" s="41"/>
      <c r="AF342" s="41"/>
      <c r="AG342" s="41"/>
      <c r="AH342" s="41"/>
      <c r="AI342" s="41"/>
      <c r="AJ342" s="41"/>
      <c r="AK342" s="41"/>
      <c r="BI342" s="41"/>
      <c r="BT342" s="48"/>
      <c r="BU342" s="47"/>
      <c r="CG342" s="48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  <c r="DG342" s="41"/>
      <c r="DH342" s="41"/>
      <c r="DI342" s="41"/>
      <c r="DJ342" s="41"/>
      <c r="DK342" s="41"/>
      <c r="DL342" s="41"/>
      <c r="DM342" s="41"/>
      <c r="DN342" s="41"/>
      <c r="DO342" s="41"/>
      <c r="DP342" s="41"/>
      <c r="DQ342" s="41"/>
      <c r="DR342" s="41"/>
      <c r="DS342" s="41"/>
      <c r="DT342" s="41"/>
      <c r="DU342" s="41"/>
      <c r="DV342" s="41"/>
      <c r="DW342" s="41"/>
      <c r="DX342" s="41"/>
      <c r="DY342" s="41"/>
      <c r="DZ342" s="41"/>
      <c r="EA342" s="41"/>
      <c r="EB342" s="41"/>
      <c r="EC342" s="41"/>
      <c r="ED342" s="41"/>
      <c r="EE342" s="41"/>
      <c r="EF342" s="41"/>
      <c r="EG342" s="41"/>
      <c r="EH342" s="41"/>
      <c r="EI342" s="41"/>
      <c r="EJ342" s="41"/>
      <c r="EK342" s="41"/>
      <c r="EL342" s="41"/>
      <c r="EM342" s="41"/>
      <c r="EN342" s="41"/>
      <c r="EO342" s="41"/>
      <c r="EP342" s="41"/>
      <c r="EQ342" s="41"/>
      <c r="ER342" s="41"/>
      <c r="ES342" s="41"/>
      <c r="ET342" s="41"/>
      <c r="EU342" s="41"/>
      <c r="EV342" s="41"/>
      <c r="EW342" s="41"/>
      <c r="EX342" s="41"/>
      <c r="EY342" s="41"/>
      <c r="EZ342" s="41"/>
      <c r="FA342" s="41"/>
      <c r="FB342" s="41"/>
      <c r="FC342" s="41"/>
      <c r="FD342" s="41"/>
      <c r="FE342" s="41"/>
    </row>
    <row r="343" spans="1:161" x14ac:dyDescent="0.25">
      <c r="A343" s="41"/>
      <c r="AC343" s="41"/>
      <c r="AD343" s="41"/>
      <c r="AE343" s="41"/>
      <c r="AF343" s="41"/>
      <c r="AG343" s="41"/>
      <c r="AH343" s="41"/>
      <c r="AI343" s="41"/>
      <c r="AJ343" s="41"/>
      <c r="AK343" s="41"/>
      <c r="BI343" s="41"/>
      <c r="BT343" s="48"/>
      <c r="BU343" s="47"/>
      <c r="CG343" s="48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  <c r="DL343" s="41"/>
      <c r="DM343" s="41"/>
      <c r="DN343" s="41"/>
      <c r="DO343" s="41"/>
      <c r="DP343" s="41"/>
      <c r="DQ343" s="41"/>
      <c r="DR343" s="41"/>
      <c r="DS343" s="41"/>
      <c r="DT343" s="41"/>
      <c r="DU343" s="41"/>
      <c r="DV343" s="41"/>
      <c r="DW343" s="41"/>
      <c r="DX343" s="41"/>
      <c r="DY343" s="41"/>
      <c r="DZ343" s="41"/>
      <c r="EA343" s="41"/>
      <c r="EB343" s="41"/>
      <c r="EC343" s="41"/>
      <c r="ED343" s="41"/>
      <c r="EE343" s="41"/>
      <c r="EF343" s="41"/>
      <c r="EG343" s="41"/>
      <c r="EH343" s="41"/>
      <c r="EI343" s="41"/>
      <c r="EJ343" s="41"/>
      <c r="EK343" s="41"/>
      <c r="EL343" s="41"/>
      <c r="EM343" s="41"/>
      <c r="EN343" s="41"/>
      <c r="EO343" s="41"/>
      <c r="EP343" s="41"/>
      <c r="EQ343" s="41"/>
      <c r="ER343" s="41"/>
      <c r="ES343" s="41"/>
      <c r="ET343" s="41"/>
      <c r="EU343" s="41"/>
      <c r="EV343" s="41"/>
      <c r="EW343" s="41"/>
      <c r="EX343" s="41"/>
      <c r="EY343" s="41"/>
      <c r="EZ343" s="41"/>
      <c r="FA343" s="41"/>
      <c r="FB343" s="41"/>
      <c r="FC343" s="41"/>
      <c r="FD343" s="41"/>
      <c r="FE343" s="41"/>
    </row>
    <row r="344" spans="1:161" x14ac:dyDescent="0.25">
      <c r="A344" s="41"/>
      <c r="AC344" s="41"/>
      <c r="AD344" s="41"/>
      <c r="AE344" s="41"/>
      <c r="AF344" s="41"/>
      <c r="AG344" s="41"/>
      <c r="AH344" s="41"/>
      <c r="AI344" s="41"/>
      <c r="AJ344" s="41"/>
      <c r="AK344" s="41"/>
      <c r="BI344" s="41"/>
      <c r="BT344" s="48"/>
      <c r="BU344" s="47"/>
      <c r="CG344" s="48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41"/>
      <c r="DI344" s="41"/>
      <c r="DJ344" s="41"/>
      <c r="DK344" s="41"/>
      <c r="DL344" s="41"/>
      <c r="DM344" s="41"/>
      <c r="DN344" s="41"/>
      <c r="DO344" s="41"/>
      <c r="DP344" s="41"/>
      <c r="DQ344" s="41"/>
      <c r="DR344" s="41"/>
      <c r="DS344" s="41"/>
      <c r="DT344" s="41"/>
      <c r="DU344" s="41"/>
      <c r="DV344" s="41"/>
      <c r="DW344" s="41"/>
      <c r="DX344" s="41"/>
      <c r="DY344" s="41"/>
      <c r="DZ344" s="41"/>
      <c r="EA344" s="41"/>
      <c r="EB344" s="41"/>
      <c r="EC344" s="41"/>
      <c r="ED344" s="41"/>
      <c r="EE344" s="41"/>
      <c r="EF344" s="41"/>
      <c r="EG344" s="41"/>
      <c r="EH344" s="41"/>
      <c r="EI344" s="41"/>
      <c r="EJ344" s="41"/>
      <c r="EK344" s="41"/>
      <c r="EL344" s="41"/>
      <c r="EM344" s="41"/>
      <c r="EN344" s="41"/>
      <c r="EO344" s="41"/>
      <c r="EP344" s="41"/>
      <c r="EQ344" s="41"/>
      <c r="ER344" s="41"/>
      <c r="ES344" s="41"/>
      <c r="ET344" s="41"/>
      <c r="EU344" s="41"/>
      <c r="EV344" s="41"/>
      <c r="EW344" s="41"/>
      <c r="EX344" s="41"/>
      <c r="EY344" s="41"/>
      <c r="EZ344" s="41"/>
      <c r="FA344" s="41"/>
      <c r="FB344" s="41"/>
      <c r="FC344" s="41"/>
      <c r="FD344" s="41"/>
      <c r="FE344" s="41"/>
    </row>
    <row r="345" spans="1:161" x14ac:dyDescent="0.25">
      <c r="A345" s="41"/>
      <c r="AC345" s="41"/>
      <c r="AD345" s="41"/>
      <c r="AE345" s="41"/>
      <c r="AF345" s="41"/>
      <c r="AG345" s="41"/>
      <c r="AH345" s="41"/>
      <c r="AI345" s="41"/>
      <c r="AJ345" s="41"/>
      <c r="AK345" s="41"/>
      <c r="BI345" s="41"/>
      <c r="BT345" s="48"/>
      <c r="BU345" s="47"/>
      <c r="CG345" s="48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  <c r="DG345" s="41"/>
      <c r="DH345" s="41"/>
      <c r="DI345" s="41"/>
      <c r="DJ345" s="41"/>
      <c r="DK345" s="41"/>
      <c r="DL345" s="41"/>
      <c r="DM345" s="41"/>
      <c r="DN345" s="41"/>
      <c r="DO345" s="41"/>
      <c r="DP345" s="41"/>
      <c r="DQ345" s="41"/>
      <c r="DR345" s="41"/>
      <c r="DS345" s="41"/>
      <c r="DT345" s="41"/>
      <c r="DU345" s="41"/>
      <c r="DV345" s="41"/>
      <c r="DW345" s="41"/>
      <c r="DX345" s="41"/>
      <c r="DY345" s="41"/>
      <c r="DZ345" s="41"/>
      <c r="EA345" s="41"/>
      <c r="EB345" s="41"/>
      <c r="EC345" s="41"/>
      <c r="ED345" s="41"/>
      <c r="EE345" s="41"/>
      <c r="EF345" s="41"/>
      <c r="EG345" s="41"/>
      <c r="EH345" s="41"/>
      <c r="EI345" s="41"/>
      <c r="EJ345" s="41"/>
      <c r="EK345" s="41"/>
      <c r="EL345" s="41"/>
      <c r="EM345" s="41"/>
      <c r="EN345" s="41"/>
      <c r="EO345" s="41"/>
      <c r="EP345" s="41"/>
      <c r="EQ345" s="41"/>
      <c r="ER345" s="41"/>
      <c r="ES345" s="41"/>
      <c r="ET345" s="41"/>
      <c r="EU345" s="41"/>
      <c r="EV345" s="41"/>
      <c r="EW345" s="41"/>
      <c r="EX345" s="41"/>
      <c r="EY345" s="41"/>
      <c r="EZ345" s="41"/>
      <c r="FA345" s="41"/>
      <c r="FB345" s="41"/>
      <c r="FC345" s="41"/>
      <c r="FD345" s="41"/>
      <c r="FE345" s="41"/>
    </row>
    <row r="346" spans="1:161" x14ac:dyDescent="0.25">
      <c r="A346" s="41"/>
      <c r="AC346" s="41"/>
      <c r="AD346" s="41"/>
      <c r="AE346" s="41"/>
      <c r="AF346" s="41"/>
      <c r="AG346" s="41"/>
      <c r="AH346" s="41"/>
      <c r="AI346" s="41"/>
      <c r="AJ346" s="41"/>
      <c r="AK346" s="41"/>
      <c r="BI346" s="41"/>
      <c r="BT346" s="48"/>
      <c r="BU346" s="47"/>
      <c r="CG346" s="48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1"/>
      <c r="DJ346" s="41"/>
      <c r="DK346" s="41"/>
      <c r="DL346" s="41"/>
      <c r="DM346" s="41"/>
      <c r="DN346" s="41"/>
      <c r="DO346" s="41"/>
      <c r="DP346" s="41"/>
      <c r="DQ346" s="41"/>
      <c r="DR346" s="41"/>
      <c r="DS346" s="41"/>
      <c r="DT346" s="41"/>
      <c r="DU346" s="41"/>
      <c r="DV346" s="41"/>
      <c r="DW346" s="41"/>
      <c r="DX346" s="41"/>
      <c r="DY346" s="41"/>
      <c r="DZ346" s="41"/>
      <c r="EA346" s="41"/>
      <c r="EB346" s="41"/>
      <c r="EC346" s="41"/>
      <c r="ED346" s="41"/>
      <c r="EE346" s="41"/>
      <c r="EF346" s="41"/>
      <c r="EG346" s="41"/>
      <c r="EH346" s="41"/>
      <c r="EI346" s="41"/>
      <c r="EJ346" s="41"/>
      <c r="EK346" s="41"/>
      <c r="EL346" s="41"/>
      <c r="EM346" s="41"/>
      <c r="EN346" s="41"/>
      <c r="EO346" s="41"/>
      <c r="EP346" s="41"/>
      <c r="EQ346" s="41"/>
      <c r="ER346" s="41"/>
      <c r="ES346" s="41"/>
      <c r="ET346" s="41"/>
      <c r="EU346" s="41"/>
      <c r="EV346" s="41"/>
      <c r="EW346" s="41"/>
      <c r="EX346" s="41"/>
      <c r="EY346" s="41"/>
      <c r="EZ346" s="41"/>
      <c r="FA346" s="41"/>
      <c r="FB346" s="41"/>
      <c r="FC346" s="41"/>
      <c r="FD346" s="41"/>
      <c r="FE346" s="41"/>
    </row>
    <row r="347" spans="1:161" x14ac:dyDescent="0.25">
      <c r="A347" s="41"/>
      <c r="AC347" s="41"/>
      <c r="AD347" s="41"/>
      <c r="AE347" s="41"/>
      <c r="AF347" s="41"/>
      <c r="AG347" s="41"/>
      <c r="AH347" s="41"/>
      <c r="AI347" s="41"/>
      <c r="AJ347" s="41"/>
      <c r="AK347" s="41"/>
      <c r="BI347" s="41"/>
      <c r="BT347" s="48"/>
      <c r="BU347" s="47"/>
      <c r="CG347" s="48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  <c r="DL347" s="41"/>
      <c r="DM347" s="41"/>
      <c r="DN347" s="41"/>
      <c r="DO347" s="41"/>
      <c r="DP347" s="41"/>
      <c r="DQ347" s="41"/>
      <c r="DR347" s="41"/>
      <c r="DS347" s="41"/>
      <c r="DT347" s="41"/>
      <c r="DU347" s="41"/>
      <c r="DV347" s="41"/>
      <c r="DW347" s="41"/>
      <c r="DX347" s="41"/>
      <c r="DY347" s="41"/>
      <c r="DZ347" s="41"/>
      <c r="EA347" s="41"/>
      <c r="EB347" s="41"/>
      <c r="EC347" s="41"/>
      <c r="ED347" s="41"/>
      <c r="EE347" s="41"/>
      <c r="EF347" s="41"/>
      <c r="EG347" s="41"/>
      <c r="EH347" s="41"/>
      <c r="EI347" s="41"/>
      <c r="EJ347" s="41"/>
      <c r="EK347" s="41"/>
      <c r="EL347" s="41"/>
      <c r="EM347" s="41"/>
      <c r="EN347" s="41"/>
      <c r="EO347" s="41"/>
      <c r="EP347" s="41"/>
      <c r="EQ347" s="41"/>
      <c r="ER347" s="41"/>
      <c r="ES347" s="41"/>
      <c r="ET347" s="41"/>
      <c r="EU347" s="41"/>
      <c r="EV347" s="41"/>
      <c r="EW347" s="41"/>
      <c r="EX347" s="41"/>
      <c r="EY347" s="41"/>
      <c r="EZ347" s="41"/>
      <c r="FA347" s="41"/>
      <c r="FB347" s="41"/>
      <c r="FC347" s="41"/>
      <c r="FD347" s="41"/>
      <c r="FE347" s="41"/>
    </row>
    <row r="348" spans="1:161" x14ac:dyDescent="0.25">
      <c r="A348" s="41"/>
      <c r="AC348" s="41"/>
      <c r="AD348" s="41"/>
      <c r="AE348" s="41"/>
      <c r="AF348" s="41"/>
      <c r="AG348" s="41"/>
      <c r="AH348" s="41"/>
      <c r="AI348" s="41"/>
      <c r="AJ348" s="41"/>
      <c r="AK348" s="41"/>
      <c r="BI348" s="41"/>
      <c r="BT348" s="48"/>
      <c r="BU348" s="47"/>
      <c r="CG348" s="48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1"/>
      <c r="DM348" s="41"/>
      <c r="DN348" s="41"/>
      <c r="DO348" s="41"/>
      <c r="DP348" s="41"/>
      <c r="DQ348" s="41"/>
      <c r="DR348" s="41"/>
      <c r="DS348" s="41"/>
      <c r="DT348" s="41"/>
      <c r="DU348" s="41"/>
      <c r="DV348" s="41"/>
      <c r="DW348" s="41"/>
      <c r="DX348" s="41"/>
      <c r="DY348" s="41"/>
      <c r="DZ348" s="41"/>
      <c r="EA348" s="41"/>
      <c r="EB348" s="41"/>
      <c r="EC348" s="41"/>
      <c r="ED348" s="41"/>
      <c r="EE348" s="41"/>
      <c r="EF348" s="41"/>
      <c r="EG348" s="41"/>
      <c r="EH348" s="41"/>
      <c r="EI348" s="41"/>
      <c r="EJ348" s="41"/>
      <c r="EK348" s="41"/>
      <c r="EL348" s="41"/>
      <c r="EM348" s="41"/>
      <c r="EN348" s="41"/>
      <c r="EO348" s="41"/>
      <c r="EP348" s="41"/>
      <c r="EQ348" s="41"/>
      <c r="ER348" s="41"/>
      <c r="ES348" s="41"/>
      <c r="ET348" s="41"/>
      <c r="EU348" s="41"/>
      <c r="EV348" s="41"/>
      <c r="EW348" s="41"/>
      <c r="EX348" s="41"/>
      <c r="EY348" s="41"/>
      <c r="EZ348" s="41"/>
      <c r="FA348" s="41"/>
      <c r="FB348" s="41"/>
      <c r="FC348" s="41"/>
      <c r="FD348" s="41"/>
      <c r="FE348" s="41"/>
    </row>
    <row r="349" spans="1:161" x14ac:dyDescent="0.25">
      <c r="A349" s="41"/>
      <c r="AC349" s="41"/>
      <c r="AD349" s="41"/>
      <c r="AE349" s="41"/>
      <c r="AF349" s="41"/>
      <c r="AG349" s="41"/>
      <c r="AH349" s="41"/>
      <c r="AI349" s="41"/>
      <c r="AJ349" s="41"/>
      <c r="AK349" s="41"/>
      <c r="BI349" s="41"/>
      <c r="BT349" s="48"/>
      <c r="BU349" s="47"/>
      <c r="CG349" s="48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  <c r="DL349" s="41"/>
      <c r="DM349" s="41"/>
      <c r="DN349" s="41"/>
      <c r="DO349" s="41"/>
      <c r="DP349" s="41"/>
      <c r="DQ349" s="41"/>
      <c r="DR349" s="41"/>
      <c r="DS349" s="41"/>
      <c r="DT349" s="41"/>
      <c r="DU349" s="41"/>
      <c r="DV349" s="41"/>
      <c r="DW349" s="41"/>
      <c r="DX349" s="41"/>
      <c r="DY349" s="41"/>
      <c r="DZ349" s="41"/>
      <c r="EA349" s="41"/>
      <c r="EB349" s="41"/>
      <c r="EC349" s="41"/>
      <c r="ED349" s="41"/>
      <c r="EE349" s="41"/>
      <c r="EF349" s="41"/>
      <c r="EG349" s="41"/>
      <c r="EH349" s="41"/>
      <c r="EI349" s="41"/>
      <c r="EJ349" s="41"/>
      <c r="EK349" s="41"/>
      <c r="EL349" s="41"/>
      <c r="EM349" s="41"/>
      <c r="EN349" s="41"/>
      <c r="EO349" s="41"/>
      <c r="EP349" s="41"/>
      <c r="EQ349" s="41"/>
      <c r="ER349" s="41"/>
      <c r="ES349" s="41"/>
      <c r="ET349" s="41"/>
      <c r="EU349" s="41"/>
      <c r="EV349" s="41"/>
      <c r="EW349" s="41"/>
      <c r="EX349" s="41"/>
      <c r="EY349" s="41"/>
      <c r="EZ349" s="41"/>
      <c r="FA349" s="41"/>
      <c r="FB349" s="41"/>
      <c r="FC349" s="41"/>
      <c r="FD349" s="41"/>
      <c r="FE349" s="41"/>
    </row>
    <row r="350" spans="1:161" x14ac:dyDescent="0.25">
      <c r="A350" s="41"/>
      <c r="AC350" s="41"/>
      <c r="AD350" s="41"/>
      <c r="AE350" s="41"/>
      <c r="AF350" s="41"/>
      <c r="AG350" s="41"/>
      <c r="AH350" s="41"/>
      <c r="AI350" s="41"/>
      <c r="AJ350" s="41"/>
      <c r="AK350" s="41"/>
      <c r="BI350" s="41"/>
      <c r="BT350" s="48"/>
      <c r="BU350" s="47"/>
      <c r="CG350" s="48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  <c r="DL350" s="41"/>
      <c r="DM350" s="41"/>
      <c r="DN350" s="41"/>
      <c r="DO350" s="41"/>
      <c r="DP350" s="41"/>
      <c r="DQ350" s="41"/>
      <c r="DR350" s="41"/>
      <c r="DS350" s="41"/>
      <c r="DT350" s="41"/>
      <c r="DU350" s="41"/>
      <c r="DV350" s="41"/>
      <c r="DW350" s="41"/>
      <c r="DX350" s="41"/>
      <c r="DY350" s="41"/>
      <c r="DZ350" s="41"/>
      <c r="EA350" s="41"/>
      <c r="EB350" s="41"/>
      <c r="EC350" s="41"/>
      <c r="ED350" s="41"/>
      <c r="EE350" s="41"/>
      <c r="EF350" s="41"/>
      <c r="EG350" s="41"/>
      <c r="EH350" s="41"/>
      <c r="EI350" s="41"/>
      <c r="EJ350" s="41"/>
      <c r="EK350" s="41"/>
      <c r="EL350" s="41"/>
      <c r="EM350" s="41"/>
      <c r="EN350" s="41"/>
      <c r="EO350" s="41"/>
      <c r="EP350" s="41"/>
      <c r="EQ350" s="41"/>
      <c r="ER350" s="41"/>
      <c r="ES350" s="41"/>
      <c r="ET350" s="41"/>
      <c r="EU350" s="41"/>
      <c r="EV350" s="41"/>
      <c r="EW350" s="41"/>
      <c r="EX350" s="41"/>
      <c r="EY350" s="41"/>
      <c r="EZ350" s="41"/>
      <c r="FA350" s="41"/>
      <c r="FB350" s="41"/>
      <c r="FC350" s="41"/>
      <c r="FD350" s="41"/>
      <c r="FE350" s="41"/>
    </row>
    <row r="351" spans="1:161" x14ac:dyDescent="0.25">
      <c r="A351" s="41"/>
      <c r="AC351" s="41"/>
      <c r="AD351" s="41"/>
      <c r="AE351" s="41"/>
      <c r="AF351" s="41"/>
      <c r="AG351" s="41"/>
      <c r="AH351" s="41"/>
      <c r="AI351" s="41"/>
      <c r="AJ351" s="41"/>
      <c r="AK351" s="41"/>
      <c r="BI351" s="41"/>
      <c r="BT351" s="48"/>
      <c r="BU351" s="47"/>
      <c r="CG351" s="48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DT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  <c r="EE351" s="41"/>
      <c r="EF351" s="41"/>
      <c r="EG351" s="41"/>
      <c r="EH351" s="41"/>
      <c r="EI351" s="41"/>
      <c r="EJ351" s="41"/>
      <c r="EK351" s="41"/>
      <c r="EL351" s="41"/>
      <c r="EM351" s="41"/>
      <c r="EN351" s="41"/>
      <c r="EO351" s="41"/>
      <c r="EP351" s="41"/>
      <c r="EQ351" s="41"/>
      <c r="ER351" s="41"/>
      <c r="ES351" s="41"/>
      <c r="ET351" s="41"/>
      <c r="EU351" s="41"/>
      <c r="EV351" s="41"/>
      <c r="EW351" s="41"/>
      <c r="EX351" s="41"/>
      <c r="EY351" s="41"/>
      <c r="EZ351" s="41"/>
      <c r="FA351" s="41"/>
      <c r="FB351" s="41"/>
      <c r="FC351" s="41"/>
      <c r="FD351" s="41"/>
      <c r="FE351" s="41"/>
    </row>
    <row r="352" spans="1:161" x14ac:dyDescent="0.25">
      <c r="A352" s="41"/>
      <c r="AC352" s="41"/>
      <c r="AD352" s="41"/>
      <c r="AE352" s="41"/>
      <c r="AF352" s="41"/>
      <c r="AG352" s="41"/>
      <c r="AH352" s="41"/>
      <c r="AI352" s="41"/>
      <c r="AJ352" s="41"/>
      <c r="AK352" s="41"/>
      <c r="BI352" s="41"/>
      <c r="BT352" s="48"/>
      <c r="BU352" s="47"/>
      <c r="CG352" s="48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DT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  <c r="EE352" s="41"/>
      <c r="EF352" s="41"/>
      <c r="EG352" s="41"/>
      <c r="EH352" s="41"/>
      <c r="EI352" s="41"/>
      <c r="EJ352" s="41"/>
      <c r="EK352" s="41"/>
      <c r="EL352" s="41"/>
      <c r="EM352" s="41"/>
      <c r="EN352" s="41"/>
      <c r="EO352" s="41"/>
      <c r="EP352" s="41"/>
      <c r="EQ352" s="41"/>
      <c r="ER352" s="41"/>
      <c r="ES352" s="41"/>
      <c r="ET352" s="41"/>
      <c r="EU352" s="41"/>
      <c r="EV352" s="41"/>
      <c r="EW352" s="41"/>
      <c r="EX352" s="41"/>
      <c r="EY352" s="41"/>
      <c r="EZ352" s="41"/>
      <c r="FA352" s="41"/>
      <c r="FB352" s="41"/>
      <c r="FC352" s="41"/>
      <c r="FD352" s="41"/>
      <c r="FE352" s="41"/>
    </row>
    <row r="353" spans="1:161" x14ac:dyDescent="0.25">
      <c r="A353" s="41"/>
      <c r="AC353" s="41"/>
      <c r="AD353" s="41"/>
      <c r="AE353" s="41"/>
      <c r="AF353" s="41"/>
      <c r="AG353" s="41"/>
      <c r="AH353" s="41"/>
      <c r="AI353" s="41"/>
      <c r="AJ353" s="41"/>
      <c r="AK353" s="41"/>
      <c r="BI353" s="41"/>
      <c r="BT353" s="48"/>
      <c r="BU353" s="47"/>
      <c r="CG353" s="48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  <c r="EO353" s="41"/>
      <c r="EP353" s="41"/>
      <c r="EQ353" s="41"/>
      <c r="ER353" s="41"/>
      <c r="ES353" s="41"/>
      <c r="ET353" s="41"/>
      <c r="EU353" s="41"/>
      <c r="EV353" s="41"/>
      <c r="EW353" s="41"/>
      <c r="EX353" s="41"/>
      <c r="EY353" s="41"/>
      <c r="EZ353" s="41"/>
      <c r="FA353" s="41"/>
      <c r="FB353" s="41"/>
      <c r="FC353" s="41"/>
      <c r="FD353" s="41"/>
      <c r="FE353" s="41"/>
    </row>
    <row r="354" spans="1:161" x14ac:dyDescent="0.25">
      <c r="A354" s="41"/>
      <c r="AC354" s="41"/>
      <c r="AD354" s="41"/>
      <c r="AE354" s="41"/>
      <c r="AF354" s="41"/>
      <c r="AG354" s="41"/>
      <c r="AH354" s="41"/>
      <c r="AI354" s="41"/>
      <c r="AJ354" s="41"/>
      <c r="AK354" s="41"/>
      <c r="BI354" s="41"/>
      <c r="BT354" s="48"/>
      <c r="BU354" s="47"/>
      <c r="CG354" s="48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DT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  <c r="EL354" s="41"/>
      <c r="EM354" s="41"/>
      <c r="EN354" s="41"/>
      <c r="EO354" s="41"/>
      <c r="EP354" s="41"/>
      <c r="EQ354" s="41"/>
      <c r="ER354" s="41"/>
      <c r="ES354" s="41"/>
      <c r="ET354" s="41"/>
      <c r="EU354" s="41"/>
      <c r="EV354" s="41"/>
      <c r="EW354" s="41"/>
      <c r="EX354" s="41"/>
      <c r="EY354" s="41"/>
      <c r="EZ354" s="41"/>
      <c r="FA354" s="41"/>
      <c r="FB354" s="41"/>
      <c r="FC354" s="41"/>
      <c r="FD354" s="41"/>
      <c r="FE354" s="41"/>
    </row>
    <row r="355" spans="1:161" x14ac:dyDescent="0.25">
      <c r="A355" s="41"/>
      <c r="AC355" s="41"/>
      <c r="AD355" s="41"/>
      <c r="AE355" s="41"/>
      <c r="AF355" s="41"/>
      <c r="AG355" s="41"/>
      <c r="AH355" s="41"/>
      <c r="AI355" s="41"/>
      <c r="AJ355" s="41"/>
      <c r="AK355" s="41"/>
      <c r="BI355" s="41"/>
      <c r="BT355" s="48"/>
      <c r="BU355" s="47"/>
      <c r="CG355" s="48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DT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  <c r="EE355" s="41"/>
      <c r="EF355" s="41"/>
      <c r="EG355" s="41"/>
      <c r="EH355" s="41"/>
      <c r="EI355" s="41"/>
      <c r="EJ355" s="41"/>
      <c r="EK355" s="41"/>
      <c r="EL355" s="41"/>
      <c r="EM355" s="41"/>
      <c r="EN355" s="41"/>
      <c r="EO355" s="41"/>
      <c r="EP355" s="41"/>
      <c r="EQ355" s="41"/>
      <c r="ER355" s="41"/>
      <c r="ES355" s="41"/>
      <c r="ET355" s="41"/>
      <c r="EU355" s="41"/>
      <c r="EV355" s="41"/>
      <c r="EW355" s="41"/>
      <c r="EX355" s="41"/>
      <c r="EY355" s="41"/>
      <c r="EZ355" s="41"/>
      <c r="FA355" s="41"/>
      <c r="FB355" s="41"/>
      <c r="FC355" s="41"/>
      <c r="FD355" s="41"/>
      <c r="FE355" s="41"/>
    </row>
    <row r="356" spans="1:161" x14ac:dyDescent="0.25">
      <c r="A356" s="41"/>
      <c r="AC356" s="41"/>
      <c r="AD356" s="41"/>
      <c r="AE356" s="41"/>
      <c r="AF356" s="41"/>
      <c r="AG356" s="41"/>
      <c r="AH356" s="41"/>
      <c r="AI356" s="41"/>
      <c r="AJ356" s="41"/>
      <c r="AK356" s="41"/>
      <c r="BI356" s="41"/>
      <c r="BT356" s="48"/>
      <c r="BU356" s="47"/>
      <c r="CG356" s="48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DT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  <c r="EE356" s="41"/>
      <c r="EF356" s="41"/>
      <c r="EG356" s="41"/>
      <c r="EH356" s="41"/>
      <c r="EI356" s="41"/>
      <c r="EJ356" s="41"/>
      <c r="EK356" s="41"/>
      <c r="EL356" s="41"/>
      <c r="EM356" s="41"/>
      <c r="EN356" s="41"/>
      <c r="EO356" s="41"/>
      <c r="EP356" s="41"/>
      <c r="EQ356" s="41"/>
      <c r="ER356" s="41"/>
      <c r="ES356" s="41"/>
      <c r="ET356" s="41"/>
      <c r="EU356" s="41"/>
      <c r="EV356" s="41"/>
      <c r="EW356" s="41"/>
      <c r="EX356" s="41"/>
      <c r="EY356" s="41"/>
      <c r="EZ356" s="41"/>
      <c r="FA356" s="41"/>
      <c r="FB356" s="41"/>
      <c r="FC356" s="41"/>
      <c r="FD356" s="41"/>
      <c r="FE356" s="41"/>
    </row>
    <row r="357" spans="1:161" x14ac:dyDescent="0.25">
      <c r="A357" s="41"/>
      <c r="AC357" s="41"/>
      <c r="AD357" s="41"/>
      <c r="AE357" s="41"/>
      <c r="AF357" s="41"/>
      <c r="AG357" s="41"/>
      <c r="AH357" s="41"/>
      <c r="AI357" s="41"/>
      <c r="AJ357" s="41"/>
      <c r="AK357" s="41"/>
      <c r="BI357" s="41"/>
      <c r="BT357" s="48"/>
      <c r="BU357" s="47"/>
      <c r="CG357" s="48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DT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  <c r="EE357" s="41"/>
      <c r="EF357" s="41"/>
      <c r="EG357" s="41"/>
      <c r="EH357" s="41"/>
      <c r="EI357" s="41"/>
      <c r="EJ357" s="41"/>
      <c r="EK357" s="41"/>
      <c r="EL357" s="41"/>
      <c r="EM357" s="41"/>
      <c r="EN357" s="41"/>
      <c r="EO357" s="41"/>
      <c r="EP357" s="41"/>
      <c r="EQ357" s="41"/>
      <c r="ER357" s="41"/>
      <c r="ES357" s="41"/>
      <c r="ET357" s="41"/>
      <c r="EU357" s="41"/>
      <c r="EV357" s="41"/>
      <c r="EW357" s="41"/>
      <c r="EX357" s="41"/>
      <c r="EY357" s="41"/>
      <c r="EZ357" s="41"/>
      <c r="FA357" s="41"/>
      <c r="FB357" s="41"/>
      <c r="FC357" s="41"/>
      <c r="FD357" s="41"/>
      <c r="FE357" s="41"/>
    </row>
    <row r="358" spans="1:161" x14ac:dyDescent="0.25">
      <c r="A358" s="41"/>
      <c r="AC358" s="41"/>
      <c r="AD358" s="41"/>
      <c r="AE358" s="41"/>
      <c r="AF358" s="41"/>
      <c r="AG358" s="41"/>
      <c r="AH358" s="41"/>
      <c r="AI358" s="41"/>
      <c r="AJ358" s="41"/>
      <c r="AK358" s="41"/>
      <c r="BI358" s="41"/>
      <c r="BT358" s="48"/>
      <c r="BU358" s="47"/>
      <c r="CG358" s="48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DT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  <c r="EL358" s="41"/>
      <c r="EM358" s="41"/>
      <c r="EN358" s="41"/>
      <c r="EO358" s="41"/>
      <c r="EP358" s="41"/>
      <c r="EQ358" s="41"/>
      <c r="ER358" s="41"/>
      <c r="ES358" s="41"/>
      <c r="ET358" s="41"/>
      <c r="EU358" s="41"/>
      <c r="EV358" s="41"/>
      <c r="EW358" s="41"/>
      <c r="EX358" s="41"/>
      <c r="EY358" s="41"/>
      <c r="EZ358" s="41"/>
      <c r="FA358" s="41"/>
      <c r="FB358" s="41"/>
      <c r="FC358" s="41"/>
      <c r="FD358" s="41"/>
      <c r="FE358" s="41"/>
    </row>
    <row r="359" spans="1:161" x14ac:dyDescent="0.25">
      <c r="A359" s="41"/>
      <c r="AC359" s="41"/>
      <c r="AD359" s="41"/>
      <c r="AE359" s="41"/>
      <c r="AF359" s="41"/>
      <c r="AG359" s="41"/>
      <c r="AH359" s="41"/>
      <c r="AI359" s="41"/>
      <c r="AJ359" s="41"/>
      <c r="AK359" s="41"/>
      <c r="BI359" s="41"/>
      <c r="BT359" s="48"/>
      <c r="BU359" s="47"/>
      <c r="CG359" s="48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1"/>
      <c r="DJ359" s="41"/>
      <c r="DK359" s="41"/>
      <c r="DL359" s="41"/>
      <c r="DM359" s="41"/>
      <c r="DN359" s="41"/>
      <c r="DO359" s="41"/>
      <c r="DP359" s="41"/>
      <c r="DQ359" s="41"/>
      <c r="DR359" s="41"/>
      <c r="DS359" s="41"/>
      <c r="DT359" s="41"/>
      <c r="DU359" s="41"/>
      <c r="DV359" s="41"/>
      <c r="DW359" s="41"/>
      <c r="DX359" s="41"/>
      <c r="DY359" s="41"/>
      <c r="DZ359" s="41"/>
      <c r="EA359" s="41"/>
      <c r="EB359" s="41"/>
      <c r="EC359" s="41"/>
      <c r="ED359" s="41"/>
      <c r="EE359" s="41"/>
      <c r="EF359" s="41"/>
      <c r="EG359" s="41"/>
      <c r="EH359" s="41"/>
      <c r="EI359" s="41"/>
      <c r="EJ359" s="41"/>
      <c r="EK359" s="41"/>
      <c r="EL359" s="41"/>
      <c r="EM359" s="41"/>
      <c r="EN359" s="41"/>
      <c r="EO359" s="41"/>
      <c r="EP359" s="41"/>
      <c r="EQ359" s="41"/>
      <c r="ER359" s="41"/>
      <c r="ES359" s="41"/>
      <c r="ET359" s="41"/>
      <c r="EU359" s="41"/>
      <c r="EV359" s="41"/>
      <c r="EW359" s="41"/>
      <c r="EX359" s="41"/>
      <c r="EY359" s="41"/>
      <c r="EZ359" s="41"/>
      <c r="FA359" s="41"/>
      <c r="FB359" s="41"/>
      <c r="FC359" s="41"/>
      <c r="FD359" s="41"/>
      <c r="FE359" s="41"/>
    </row>
    <row r="360" spans="1:161" x14ac:dyDescent="0.25">
      <c r="A360" s="41"/>
      <c r="AC360" s="41"/>
      <c r="AD360" s="41"/>
      <c r="AE360" s="41"/>
      <c r="AF360" s="41"/>
      <c r="AG360" s="41"/>
      <c r="AH360" s="41"/>
      <c r="AI360" s="41"/>
      <c r="AJ360" s="41"/>
      <c r="AK360" s="41"/>
      <c r="BI360" s="41"/>
      <c r="BT360" s="48"/>
      <c r="BU360" s="47"/>
      <c r="CG360" s="48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  <c r="EO360" s="41"/>
      <c r="EP360" s="41"/>
      <c r="EQ360" s="41"/>
      <c r="ER360" s="41"/>
      <c r="ES360" s="41"/>
      <c r="ET360" s="41"/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</row>
    <row r="361" spans="1:161" x14ac:dyDescent="0.25">
      <c r="A361" s="41"/>
      <c r="AC361" s="41"/>
      <c r="AD361" s="41"/>
      <c r="AE361" s="41"/>
      <c r="AF361" s="41"/>
      <c r="AG361" s="41"/>
      <c r="AH361" s="41"/>
      <c r="AI361" s="41"/>
      <c r="AJ361" s="41"/>
      <c r="AK361" s="41"/>
      <c r="BI361" s="41"/>
      <c r="BT361" s="48"/>
      <c r="BU361" s="47"/>
      <c r="CG361" s="48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  <c r="FE361" s="41"/>
    </row>
    <row r="362" spans="1:161" x14ac:dyDescent="0.25">
      <c r="A362" s="41"/>
      <c r="AC362" s="41"/>
      <c r="AD362" s="41"/>
      <c r="AE362" s="41"/>
      <c r="AF362" s="41"/>
      <c r="AG362" s="41"/>
      <c r="AH362" s="41"/>
      <c r="AI362" s="41"/>
      <c r="AJ362" s="41"/>
      <c r="AK362" s="41"/>
      <c r="BI362" s="41"/>
      <c r="BT362" s="48"/>
      <c r="BU362" s="47"/>
      <c r="CG362" s="48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DT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  <c r="EE362" s="41"/>
      <c r="EF362" s="41"/>
      <c r="EG362" s="41"/>
      <c r="EH362" s="41"/>
      <c r="EI362" s="41"/>
      <c r="EJ362" s="41"/>
      <c r="EK362" s="41"/>
      <c r="EL362" s="41"/>
      <c r="EM362" s="41"/>
      <c r="EN362" s="41"/>
      <c r="EO362" s="41"/>
      <c r="EP362" s="41"/>
      <c r="EQ362" s="41"/>
      <c r="ER362" s="41"/>
      <c r="ES362" s="41"/>
      <c r="ET362" s="41"/>
      <c r="EU362" s="41"/>
      <c r="EV362" s="41"/>
      <c r="EW362" s="41"/>
      <c r="EX362" s="41"/>
      <c r="EY362" s="41"/>
      <c r="EZ362" s="41"/>
      <c r="FA362" s="41"/>
      <c r="FB362" s="41"/>
      <c r="FC362" s="41"/>
      <c r="FD362" s="41"/>
      <c r="FE362" s="41"/>
    </row>
    <row r="363" spans="1:161" x14ac:dyDescent="0.25">
      <c r="A363" s="41"/>
      <c r="AC363" s="41"/>
      <c r="AD363" s="41"/>
      <c r="AE363" s="41"/>
      <c r="AF363" s="41"/>
      <c r="AG363" s="41"/>
      <c r="AH363" s="41"/>
      <c r="AI363" s="41"/>
      <c r="AJ363" s="41"/>
      <c r="AK363" s="41"/>
      <c r="BI363" s="41"/>
      <c r="BT363" s="48"/>
      <c r="BU363" s="47"/>
      <c r="CG363" s="48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41"/>
      <c r="DI363" s="41"/>
      <c r="DJ363" s="41"/>
      <c r="DK363" s="41"/>
      <c r="DL363" s="41"/>
      <c r="DM363" s="41"/>
      <c r="DN363" s="41"/>
      <c r="DO363" s="41"/>
      <c r="DP363" s="41"/>
      <c r="DQ363" s="41"/>
      <c r="DR363" s="41"/>
      <c r="DS363" s="41"/>
      <c r="DT363" s="41"/>
      <c r="DU363" s="41"/>
      <c r="DV363" s="41"/>
      <c r="DW363" s="41"/>
      <c r="DX363" s="41"/>
      <c r="DY363" s="41"/>
      <c r="DZ363" s="41"/>
      <c r="EA363" s="41"/>
      <c r="EB363" s="41"/>
      <c r="EC363" s="41"/>
      <c r="ED363" s="41"/>
      <c r="EE363" s="41"/>
      <c r="EF363" s="41"/>
      <c r="EG363" s="41"/>
      <c r="EH363" s="41"/>
      <c r="EI363" s="41"/>
      <c r="EJ363" s="41"/>
      <c r="EK363" s="41"/>
      <c r="EL363" s="41"/>
      <c r="EM363" s="41"/>
      <c r="EN363" s="41"/>
      <c r="EO363" s="41"/>
      <c r="EP363" s="41"/>
      <c r="EQ363" s="41"/>
      <c r="ER363" s="41"/>
      <c r="ES363" s="41"/>
      <c r="ET363" s="41"/>
      <c r="EU363" s="41"/>
      <c r="EV363" s="41"/>
      <c r="EW363" s="41"/>
      <c r="EX363" s="41"/>
      <c r="EY363" s="41"/>
      <c r="EZ363" s="41"/>
      <c r="FA363" s="41"/>
      <c r="FB363" s="41"/>
      <c r="FC363" s="41"/>
      <c r="FD363" s="41"/>
      <c r="FE363" s="41"/>
    </row>
    <row r="364" spans="1:161" x14ac:dyDescent="0.25">
      <c r="A364" s="41"/>
      <c r="AC364" s="41"/>
      <c r="AD364" s="41"/>
      <c r="AE364" s="41"/>
      <c r="AF364" s="41"/>
      <c r="AG364" s="41"/>
      <c r="AH364" s="41"/>
      <c r="AI364" s="41"/>
      <c r="AJ364" s="41"/>
      <c r="AK364" s="41"/>
      <c r="BI364" s="41"/>
      <c r="BT364" s="48"/>
      <c r="BU364" s="47"/>
      <c r="CG364" s="48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1"/>
      <c r="DJ364" s="41"/>
      <c r="DK364" s="41"/>
      <c r="DL364" s="41"/>
      <c r="DM364" s="41"/>
      <c r="DN364" s="41"/>
      <c r="DO364" s="41"/>
      <c r="DP364" s="41"/>
      <c r="DQ364" s="41"/>
      <c r="DR364" s="41"/>
      <c r="DS364" s="41"/>
      <c r="DT364" s="41"/>
      <c r="DU364" s="41"/>
      <c r="DV364" s="41"/>
      <c r="DW364" s="41"/>
      <c r="DX364" s="41"/>
      <c r="DY364" s="41"/>
      <c r="DZ364" s="41"/>
      <c r="EA364" s="41"/>
      <c r="EB364" s="41"/>
      <c r="EC364" s="41"/>
      <c r="ED364" s="41"/>
      <c r="EE364" s="41"/>
      <c r="EF364" s="41"/>
      <c r="EG364" s="41"/>
      <c r="EH364" s="41"/>
      <c r="EI364" s="41"/>
      <c r="EJ364" s="41"/>
      <c r="EK364" s="41"/>
      <c r="EL364" s="41"/>
      <c r="EM364" s="41"/>
      <c r="EN364" s="41"/>
      <c r="EO364" s="41"/>
      <c r="EP364" s="41"/>
      <c r="EQ364" s="41"/>
      <c r="ER364" s="41"/>
      <c r="ES364" s="41"/>
      <c r="ET364" s="41"/>
      <c r="EU364" s="41"/>
      <c r="EV364" s="41"/>
      <c r="EW364" s="41"/>
      <c r="EX364" s="41"/>
      <c r="EY364" s="41"/>
      <c r="EZ364" s="41"/>
      <c r="FA364" s="41"/>
      <c r="FB364" s="41"/>
      <c r="FC364" s="41"/>
      <c r="FD364" s="41"/>
      <c r="FE364" s="41"/>
    </row>
    <row r="365" spans="1:161" x14ac:dyDescent="0.25">
      <c r="A365" s="41"/>
      <c r="AC365" s="41"/>
      <c r="AD365" s="41"/>
      <c r="AE365" s="41"/>
      <c r="AF365" s="41"/>
      <c r="AG365" s="41"/>
      <c r="AH365" s="41"/>
      <c r="AI365" s="41"/>
      <c r="AJ365" s="41"/>
      <c r="AK365" s="41"/>
      <c r="BI365" s="41"/>
      <c r="BT365" s="48"/>
      <c r="BU365" s="47"/>
      <c r="CG365" s="48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1"/>
      <c r="DJ365" s="41"/>
      <c r="DK365" s="41"/>
      <c r="DL365" s="41"/>
      <c r="DM365" s="41"/>
      <c r="DN365" s="41"/>
      <c r="DO365" s="41"/>
      <c r="DP365" s="41"/>
      <c r="DQ365" s="41"/>
      <c r="DR365" s="41"/>
      <c r="DS365" s="41"/>
      <c r="DT365" s="41"/>
      <c r="DU365" s="41"/>
      <c r="DV365" s="41"/>
      <c r="DW365" s="41"/>
      <c r="DX365" s="41"/>
      <c r="DY365" s="41"/>
      <c r="DZ365" s="41"/>
      <c r="EA365" s="41"/>
      <c r="EB365" s="41"/>
      <c r="EC365" s="41"/>
      <c r="ED365" s="41"/>
      <c r="EE365" s="41"/>
      <c r="EF365" s="41"/>
      <c r="EG365" s="41"/>
      <c r="EH365" s="41"/>
      <c r="EI365" s="41"/>
      <c r="EJ365" s="41"/>
      <c r="EK365" s="41"/>
      <c r="EL365" s="41"/>
      <c r="EM365" s="41"/>
      <c r="EN365" s="41"/>
      <c r="EO365" s="41"/>
      <c r="EP365" s="41"/>
      <c r="EQ365" s="41"/>
      <c r="ER365" s="41"/>
      <c r="ES365" s="41"/>
      <c r="ET365" s="41"/>
      <c r="EU365" s="41"/>
      <c r="EV365" s="41"/>
      <c r="EW365" s="41"/>
      <c r="EX365" s="41"/>
      <c r="EY365" s="41"/>
      <c r="EZ365" s="41"/>
      <c r="FA365" s="41"/>
      <c r="FB365" s="41"/>
      <c r="FC365" s="41"/>
      <c r="FD365" s="41"/>
      <c r="FE365" s="41"/>
    </row>
    <row r="366" spans="1:161" x14ac:dyDescent="0.25">
      <c r="A366" s="41"/>
      <c r="AC366" s="41"/>
      <c r="AD366" s="41"/>
      <c r="AE366" s="41"/>
      <c r="AF366" s="41"/>
      <c r="AG366" s="41"/>
      <c r="AH366" s="41"/>
      <c r="AI366" s="41"/>
      <c r="AJ366" s="41"/>
      <c r="AK366" s="41"/>
      <c r="BI366" s="41"/>
      <c r="BT366" s="48"/>
      <c r="BU366" s="47"/>
      <c r="CG366" s="48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  <c r="DG366" s="41"/>
      <c r="DH366" s="41"/>
      <c r="DI366" s="41"/>
      <c r="DJ366" s="41"/>
      <c r="DK366" s="41"/>
      <c r="DL366" s="41"/>
      <c r="DM366" s="41"/>
      <c r="DN366" s="41"/>
      <c r="DO366" s="41"/>
      <c r="DP366" s="41"/>
      <c r="DQ366" s="41"/>
      <c r="DR366" s="41"/>
      <c r="DS366" s="41"/>
      <c r="DT366" s="41"/>
      <c r="DU366" s="41"/>
      <c r="DV366" s="41"/>
      <c r="DW366" s="41"/>
      <c r="DX366" s="41"/>
      <c r="DY366" s="41"/>
      <c r="DZ366" s="41"/>
      <c r="EA366" s="41"/>
      <c r="EB366" s="41"/>
      <c r="EC366" s="41"/>
      <c r="ED366" s="41"/>
      <c r="EE366" s="41"/>
      <c r="EF366" s="41"/>
      <c r="EG366" s="41"/>
      <c r="EH366" s="41"/>
      <c r="EI366" s="41"/>
      <c r="EJ366" s="41"/>
      <c r="EK366" s="41"/>
      <c r="EL366" s="41"/>
      <c r="EM366" s="41"/>
      <c r="EN366" s="41"/>
      <c r="EO366" s="41"/>
      <c r="EP366" s="41"/>
      <c r="EQ366" s="41"/>
      <c r="ER366" s="41"/>
      <c r="ES366" s="41"/>
      <c r="ET366" s="41"/>
      <c r="EU366" s="41"/>
      <c r="EV366" s="41"/>
      <c r="EW366" s="41"/>
      <c r="EX366" s="41"/>
      <c r="EY366" s="41"/>
      <c r="EZ366" s="41"/>
      <c r="FA366" s="41"/>
      <c r="FB366" s="41"/>
      <c r="FC366" s="41"/>
      <c r="FD366" s="41"/>
      <c r="FE366" s="41"/>
    </row>
    <row r="367" spans="1:161" x14ac:dyDescent="0.25">
      <c r="A367" s="41"/>
      <c r="AC367" s="41"/>
      <c r="AD367" s="41"/>
      <c r="AE367" s="41"/>
      <c r="AF367" s="41"/>
      <c r="AG367" s="41"/>
      <c r="AH367" s="41"/>
      <c r="AI367" s="41"/>
      <c r="AJ367" s="41"/>
      <c r="AK367" s="41"/>
      <c r="BI367" s="41"/>
      <c r="BT367" s="48"/>
      <c r="BU367" s="47"/>
      <c r="CG367" s="48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41"/>
      <c r="DI367" s="41"/>
      <c r="DJ367" s="41"/>
      <c r="DK367" s="41"/>
      <c r="DL367" s="41"/>
      <c r="DM367" s="41"/>
      <c r="DN367" s="41"/>
      <c r="DO367" s="41"/>
      <c r="DP367" s="41"/>
      <c r="DQ367" s="41"/>
      <c r="DR367" s="41"/>
      <c r="DS367" s="41"/>
      <c r="DT367" s="41"/>
      <c r="DU367" s="41"/>
      <c r="DV367" s="41"/>
      <c r="DW367" s="41"/>
      <c r="DX367" s="41"/>
      <c r="DY367" s="41"/>
      <c r="DZ367" s="41"/>
      <c r="EA367" s="41"/>
      <c r="EB367" s="41"/>
      <c r="EC367" s="41"/>
      <c r="ED367" s="41"/>
      <c r="EE367" s="41"/>
      <c r="EF367" s="41"/>
      <c r="EG367" s="41"/>
      <c r="EH367" s="41"/>
      <c r="EI367" s="41"/>
      <c r="EJ367" s="41"/>
      <c r="EK367" s="41"/>
      <c r="EL367" s="41"/>
      <c r="EM367" s="41"/>
      <c r="EN367" s="41"/>
      <c r="EO367" s="41"/>
      <c r="EP367" s="41"/>
      <c r="EQ367" s="41"/>
      <c r="ER367" s="41"/>
      <c r="ES367" s="41"/>
      <c r="ET367" s="41"/>
      <c r="EU367" s="41"/>
      <c r="EV367" s="41"/>
      <c r="EW367" s="41"/>
      <c r="EX367" s="41"/>
      <c r="EY367" s="41"/>
      <c r="EZ367" s="41"/>
      <c r="FA367" s="41"/>
      <c r="FB367" s="41"/>
      <c r="FC367" s="41"/>
      <c r="FD367" s="41"/>
      <c r="FE367" s="41"/>
    </row>
    <row r="368" spans="1:161" x14ac:dyDescent="0.25">
      <c r="A368" s="41"/>
      <c r="AC368" s="41"/>
      <c r="AD368" s="41"/>
      <c r="AE368" s="41"/>
      <c r="AF368" s="41"/>
      <c r="AG368" s="41"/>
      <c r="AH368" s="41"/>
      <c r="AI368" s="41"/>
      <c r="AJ368" s="41"/>
      <c r="AK368" s="41"/>
      <c r="BI368" s="41"/>
      <c r="BT368" s="48"/>
      <c r="BU368" s="47"/>
      <c r="CG368" s="48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  <c r="DG368" s="41"/>
      <c r="DH368" s="41"/>
      <c r="DI368" s="41"/>
      <c r="DJ368" s="41"/>
      <c r="DK368" s="41"/>
      <c r="DL368" s="41"/>
      <c r="DM368" s="41"/>
      <c r="DN368" s="41"/>
      <c r="DO368" s="41"/>
      <c r="DP368" s="41"/>
      <c r="DQ368" s="41"/>
      <c r="DR368" s="41"/>
      <c r="DS368" s="41"/>
      <c r="DT368" s="41"/>
      <c r="DU368" s="41"/>
      <c r="DV368" s="41"/>
      <c r="DW368" s="41"/>
      <c r="DX368" s="41"/>
      <c r="DY368" s="41"/>
      <c r="DZ368" s="41"/>
      <c r="EA368" s="41"/>
      <c r="EB368" s="41"/>
      <c r="EC368" s="41"/>
      <c r="ED368" s="41"/>
      <c r="EE368" s="41"/>
      <c r="EF368" s="41"/>
      <c r="EG368" s="41"/>
      <c r="EH368" s="41"/>
      <c r="EI368" s="41"/>
      <c r="EJ368" s="41"/>
      <c r="EK368" s="41"/>
      <c r="EL368" s="41"/>
      <c r="EM368" s="41"/>
      <c r="EN368" s="41"/>
      <c r="EO368" s="41"/>
      <c r="EP368" s="41"/>
      <c r="EQ368" s="41"/>
      <c r="ER368" s="41"/>
      <c r="ES368" s="41"/>
      <c r="ET368" s="41"/>
      <c r="EU368" s="41"/>
      <c r="EV368" s="41"/>
      <c r="EW368" s="41"/>
      <c r="EX368" s="41"/>
      <c r="EY368" s="41"/>
      <c r="EZ368" s="41"/>
      <c r="FA368" s="41"/>
      <c r="FB368" s="41"/>
      <c r="FC368" s="41"/>
      <c r="FD368" s="41"/>
      <c r="FE368" s="41"/>
    </row>
    <row r="369" spans="1:161" x14ac:dyDescent="0.25">
      <c r="A369" s="41"/>
      <c r="AC369" s="41"/>
      <c r="AD369" s="41"/>
      <c r="AE369" s="41"/>
      <c r="AF369" s="41"/>
      <c r="AG369" s="41"/>
      <c r="AH369" s="41"/>
      <c r="AI369" s="41"/>
      <c r="AJ369" s="41"/>
      <c r="AK369" s="41"/>
      <c r="BI369" s="41"/>
      <c r="BT369" s="48"/>
      <c r="BU369" s="47"/>
      <c r="CG369" s="48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DT369" s="41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  <c r="EO369" s="41"/>
      <c r="EP369" s="41"/>
      <c r="EQ369" s="41"/>
      <c r="ER369" s="41"/>
      <c r="ES369" s="41"/>
      <c r="ET369" s="41"/>
      <c r="EU369" s="41"/>
      <c r="EV369" s="41"/>
      <c r="EW369" s="41"/>
      <c r="EX369" s="41"/>
      <c r="EY369" s="41"/>
      <c r="EZ369" s="41"/>
      <c r="FA369" s="41"/>
      <c r="FB369" s="41"/>
      <c r="FC369" s="41"/>
      <c r="FD369" s="41"/>
      <c r="FE369" s="41"/>
    </row>
    <row r="370" spans="1:161" x14ac:dyDescent="0.25">
      <c r="A370" s="41"/>
      <c r="AC370" s="41"/>
      <c r="AD370" s="41"/>
      <c r="AE370" s="41"/>
      <c r="AF370" s="41"/>
      <c r="AG370" s="41"/>
      <c r="AH370" s="41"/>
      <c r="AI370" s="41"/>
      <c r="AJ370" s="41"/>
      <c r="AK370" s="41"/>
      <c r="BI370" s="41"/>
      <c r="BT370" s="48"/>
      <c r="BU370" s="47"/>
      <c r="CG370" s="48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  <c r="DG370" s="41"/>
      <c r="DH370" s="41"/>
      <c r="DI370" s="41"/>
      <c r="DJ370" s="41"/>
      <c r="DK370" s="41"/>
      <c r="DL370" s="41"/>
      <c r="DM370" s="41"/>
      <c r="DN370" s="41"/>
      <c r="DO370" s="41"/>
      <c r="DP370" s="41"/>
      <c r="DQ370" s="41"/>
      <c r="DR370" s="41"/>
      <c r="DS370" s="41"/>
      <c r="DT370" s="41"/>
      <c r="DU370" s="41"/>
      <c r="DV370" s="41"/>
      <c r="DW370" s="41"/>
      <c r="DX370" s="41"/>
      <c r="DY370" s="41"/>
      <c r="DZ370" s="41"/>
      <c r="EA370" s="41"/>
      <c r="EB370" s="41"/>
      <c r="EC370" s="41"/>
      <c r="ED370" s="41"/>
      <c r="EE370" s="41"/>
      <c r="EF370" s="41"/>
      <c r="EG370" s="41"/>
      <c r="EH370" s="41"/>
      <c r="EI370" s="41"/>
      <c r="EJ370" s="41"/>
      <c r="EK370" s="41"/>
      <c r="EL370" s="41"/>
      <c r="EM370" s="41"/>
      <c r="EN370" s="41"/>
      <c r="EO370" s="41"/>
      <c r="EP370" s="41"/>
      <c r="EQ370" s="41"/>
      <c r="ER370" s="41"/>
      <c r="ES370" s="41"/>
      <c r="ET370" s="41"/>
      <c r="EU370" s="41"/>
      <c r="EV370" s="41"/>
      <c r="EW370" s="41"/>
      <c r="EX370" s="41"/>
      <c r="EY370" s="41"/>
      <c r="EZ370" s="41"/>
      <c r="FA370" s="41"/>
      <c r="FB370" s="41"/>
      <c r="FC370" s="41"/>
      <c r="FD370" s="41"/>
      <c r="FE370" s="41"/>
    </row>
    <row r="371" spans="1:161" x14ac:dyDescent="0.25">
      <c r="A371" s="41"/>
      <c r="AC371" s="41"/>
      <c r="AD371" s="41"/>
      <c r="AE371" s="41"/>
      <c r="AF371" s="41"/>
      <c r="AG371" s="41"/>
      <c r="AH371" s="41"/>
      <c r="AI371" s="41"/>
      <c r="AJ371" s="41"/>
      <c r="AK371" s="41"/>
      <c r="BI371" s="41"/>
      <c r="BT371" s="48"/>
      <c r="BU371" s="47"/>
      <c r="CG371" s="48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DT371" s="41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  <c r="EL371" s="41"/>
      <c r="EM371" s="41"/>
      <c r="EN371" s="41"/>
      <c r="EO371" s="41"/>
      <c r="EP371" s="41"/>
      <c r="EQ371" s="41"/>
      <c r="ER371" s="41"/>
      <c r="ES371" s="41"/>
      <c r="ET371" s="41"/>
      <c r="EU371" s="41"/>
      <c r="EV371" s="41"/>
      <c r="EW371" s="41"/>
      <c r="EX371" s="41"/>
      <c r="EY371" s="41"/>
      <c r="EZ371" s="41"/>
      <c r="FA371" s="41"/>
      <c r="FB371" s="41"/>
      <c r="FC371" s="41"/>
      <c r="FD371" s="41"/>
      <c r="FE371" s="41"/>
    </row>
    <row r="372" spans="1:161" x14ac:dyDescent="0.25">
      <c r="A372" s="41"/>
      <c r="AC372" s="41"/>
      <c r="AD372" s="41"/>
      <c r="AE372" s="41"/>
      <c r="AF372" s="41"/>
      <c r="AG372" s="41"/>
      <c r="AH372" s="41"/>
      <c r="AI372" s="41"/>
      <c r="AJ372" s="41"/>
      <c r="AK372" s="41"/>
      <c r="BI372" s="41"/>
      <c r="BT372" s="48"/>
      <c r="BU372" s="47"/>
      <c r="CG372" s="48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DT372" s="41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  <c r="EL372" s="41"/>
      <c r="EM372" s="41"/>
      <c r="EN372" s="41"/>
      <c r="EO372" s="41"/>
      <c r="EP372" s="41"/>
      <c r="EQ372" s="41"/>
      <c r="ER372" s="41"/>
      <c r="ES372" s="41"/>
      <c r="ET372" s="41"/>
      <c r="EU372" s="41"/>
      <c r="EV372" s="41"/>
      <c r="EW372" s="41"/>
      <c r="EX372" s="41"/>
      <c r="EY372" s="41"/>
      <c r="EZ372" s="41"/>
      <c r="FA372" s="41"/>
      <c r="FB372" s="41"/>
      <c r="FC372" s="41"/>
      <c r="FD372" s="41"/>
      <c r="FE372" s="41"/>
    </row>
    <row r="373" spans="1:161" x14ac:dyDescent="0.25">
      <c r="A373" s="41"/>
      <c r="AC373" s="41"/>
      <c r="AD373" s="41"/>
      <c r="AE373" s="41"/>
      <c r="AF373" s="41"/>
      <c r="AG373" s="41"/>
      <c r="AH373" s="41"/>
      <c r="AI373" s="41"/>
      <c r="AJ373" s="41"/>
      <c r="AK373" s="41"/>
      <c r="BI373" s="41"/>
      <c r="BT373" s="48"/>
      <c r="BU373" s="47"/>
      <c r="CG373" s="48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  <c r="DG373" s="41"/>
      <c r="DH373" s="41"/>
      <c r="DI373" s="41"/>
      <c r="DJ373" s="41"/>
      <c r="DK373" s="41"/>
      <c r="DL373" s="41"/>
      <c r="DM373" s="41"/>
      <c r="DN373" s="41"/>
      <c r="DO373" s="41"/>
      <c r="DP373" s="41"/>
      <c r="DQ373" s="41"/>
      <c r="DR373" s="41"/>
      <c r="DS373" s="41"/>
      <c r="DT373" s="41"/>
      <c r="DU373" s="41"/>
      <c r="DV373" s="41"/>
      <c r="DW373" s="41"/>
      <c r="DX373" s="41"/>
      <c r="DY373" s="41"/>
      <c r="DZ373" s="41"/>
      <c r="EA373" s="41"/>
      <c r="EB373" s="41"/>
      <c r="EC373" s="41"/>
      <c r="ED373" s="41"/>
      <c r="EE373" s="41"/>
      <c r="EF373" s="41"/>
      <c r="EG373" s="41"/>
      <c r="EH373" s="41"/>
      <c r="EI373" s="41"/>
      <c r="EJ373" s="41"/>
      <c r="EK373" s="41"/>
      <c r="EL373" s="41"/>
      <c r="EM373" s="41"/>
      <c r="EN373" s="41"/>
      <c r="EO373" s="41"/>
      <c r="EP373" s="41"/>
      <c r="EQ373" s="41"/>
      <c r="ER373" s="41"/>
      <c r="ES373" s="41"/>
      <c r="ET373" s="41"/>
      <c r="EU373" s="41"/>
      <c r="EV373" s="41"/>
      <c r="EW373" s="41"/>
      <c r="EX373" s="41"/>
      <c r="EY373" s="41"/>
      <c r="EZ373" s="41"/>
      <c r="FA373" s="41"/>
      <c r="FB373" s="41"/>
      <c r="FC373" s="41"/>
      <c r="FD373" s="41"/>
      <c r="FE373" s="41"/>
    </row>
    <row r="374" spans="1:161" x14ac:dyDescent="0.25">
      <c r="A374" s="41"/>
      <c r="AC374" s="41"/>
      <c r="AD374" s="41"/>
      <c r="AE374" s="41"/>
      <c r="AF374" s="41"/>
      <c r="AG374" s="41"/>
      <c r="AH374" s="41"/>
      <c r="AI374" s="41"/>
      <c r="AJ374" s="41"/>
      <c r="AK374" s="41"/>
      <c r="BI374" s="41"/>
      <c r="BT374" s="48"/>
      <c r="BU374" s="47"/>
      <c r="CG374" s="48"/>
      <c r="CH374" s="41"/>
      <c r="CI374" s="41"/>
      <c r="CJ374" s="41"/>
      <c r="CK374" s="41"/>
      <c r="CL374" s="41"/>
      <c r="CM374" s="41"/>
      <c r="CN374" s="41"/>
      <c r="CO374" s="41"/>
      <c r="CP374" s="41"/>
      <c r="CQ374" s="41"/>
      <c r="CR374" s="41"/>
      <c r="CS374" s="41"/>
      <c r="CT374" s="41"/>
      <c r="CU374" s="41"/>
      <c r="CV374" s="41"/>
      <c r="CW374" s="41"/>
      <c r="CX374" s="41"/>
      <c r="CY374" s="41"/>
      <c r="CZ374" s="41"/>
      <c r="DA374" s="41"/>
      <c r="DB374" s="41"/>
      <c r="DC374" s="41"/>
      <c r="DD374" s="41"/>
      <c r="DE374" s="41"/>
      <c r="DF374" s="41"/>
      <c r="DG374" s="41"/>
      <c r="DH374" s="41"/>
      <c r="DI374" s="41"/>
      <c r="DJ374" s="41"/>
      <c r="DK374" s="41"/>
      <c r="DL374" s="41"/>
      <c r="DM374" s="41"/>
      <c r="DN374" s="41"/>
      <c r="DO374" s="41"/>
      <c r="DP374" s="41"/>
      <c r="DQ374" s="41"/>
      <c r="DR374" s="41"/>
      <c r="DS374" s="41"/>
      <c r="DT374" s="41"/>
      <c r="DU374" s="41"/>
      <c r="DV374" s="41"/>
      <c r="DW374" s="41"/>
      <c r="DX374" s="41"/>
      <c r="DY374" s="41"/>
      <c r="DZ374" s="41"/>
      <c r="EA374" s="41"/>
      <c r="EB374" s="41"/>
      <c r="EC374" s="41"/>
      <c r="ED374" s="41"/>
      <c r="EE374" s="41"/>
      <c r="EF374" s="41"/>
      <c r="EG374" s="41"/>
      <c r="EH374" s="41"/>
      <c r="EI374" s="41"/>
      <c r="EJ374" s="41"/>
      <c r="EK374" s="41"/>
      <c r="EL374" s="41"/>
      <c r="EM374" s="41"/>
      <c r="EN374" s="41"/>
      <c r="EO374" s="41"/>
      <c r="EP374" s="41"/>
      <c r="EQ374" s="41"/>
      <c r="ER374" s="41"/>
      <c r="ES374" s="41"/>
      <c r="ET374" s="41"/>
      <c r="EU374" s="41"/>
      <c r="EV374" s="41"/>
      <c r="EW374" s="41"/>
      <c r="EX374" s="41"/>
      <c r="EY374" s="41"/>
      <c r="EZ374" s="41"/>
      <c r="FA374" s="41"/>
      <c r="FB374" s="41"/>
      <c r="FC374" s="41"/>
      <c r="FD374" s="41"/>
      <c r="FE374" s="41"/>
    </row>
    <row r="375" spans="1:161" x14ac:dyDescent="0.25">
      <c r="A375" s="41"/>
      <c r="AC375" s="41"/>
      <c r="AD375" s="41"/>
      <c r="AE375" s="41"/>
      <c r="AF375" s="41"/>
      <c r="AG375" s="41"/>
      <c r="AH375" s="41"/>
      <c r="AI375" s="41"/>
      <c r="AJ375" s="41"/>
      <c r="AK375" s="41"/>
      <c r="BI375" s="41"/>
      <c r="BT375" s="48"/>
      <c r="BU375" s="47"/>
      <c r="CG375" s="48"/>
      <c r="CH375" s="41"/>
      <c r="CI375" s="41"/>
      <c r="CJ375" s="41"/>
      <c r="CK375" s="41"/>
      <c r="CL375" s="41"/>
      <c r="CM375" s="41"/>
      <c r="CN375" s="41"/>
      <c r="CO375" s="41"/>
      <c r="CP375" s="41"/>
      <c r="CQ375" s="41"/>
      <c r="CR375" s="41"/>
      <c r="CS375" s="41"/>
      <c r="CT375" s="41"/>
      <c r="CU375" s="41"/>
      <c r="CV375" s="41"/>
      <c r="CW375" s="41"/>
      <c r="CX375" s="41"/>
      <c r="CY375" s="41"/>
      <c r="CZ375" s="41"/>
      <c r="DA375" s="41"/>
      <c r="DB375" s="41"/>
      <c r="DC375" s="41"/>
      <c r="DD375" s="41"/>
      <c r="DE375" s="41"/>
      <c r="DF375" s="41"/>
      <c r="DG375" s="41"/>
      <c r="DH375" s="41"/>
      <c r="DI375" s="41"/>
      <c r="DJ375" s="41"/>
      <c r="DK375" s="41"/>
      <c r="DL375" s="41"/>
      <c r="DM375" s="41"/>
      <c r="DN375" s="41"/>
      <c r="DO375" s="41"/>
      <c r="DP375" s="41"/>
      <c r="DQ375" s="41"/>
      <c r="DR375" s="41"/>
      <c r="DS375" s="41"/>
      <c r="DT375" s="41"/>
      <c r="DU375" s="41"/>
      <c r="DV375" s="41"/>
      <c r="DW375" s="41"/>
      <c r="DX375" s="41"/>
      <c r="DY375" s="41"/>
      <c r="DZ375" s="41"/>
      <c r="EA375" s="41"/>
      <c r="EB375" s="41"/>
      <c r="EC375" s="41"/>
      <c r="ED375" s="41"/>
      <c r="EE375" s="41"/>
      <c r="EF375" s="41"/>
      <c r="EG375" s="41"/>
      <c r="EH375" s="41"/>
      <c r="EI375" s="41"/>
      <c r="EJ375" s="41"/>
      <c r="EK375" s="41"/>
      <c r="EL375" s="41"/>
      <c r="EM375" s="41"/>
      <c r="EN375" s="41"/>
      <c r="EO375" s="41"/>
      <c r="EP375" s="41"/>
      <c r="EQ375" s="41"/>
      <c r="ER375" s="41"/>
      <c r="ES375" s="41"/>
      <c r="ET375" s="41"/>
      <c r="EU375" s="41"/>
      <c r="EV375" s="41"/>
      <c r="EW375" s="41"/>
      <c r="EX375" s="41"/>
      <c r="EY375" s="41"/>
      <c r="EZ375" s="41"/>
      <c r="FA375" s="41"/>
      <c r="FB375" s="41"/>
      <c r="FC375" s="41"/>
      <c r="FD375" s="41"/>
      <c r="FE375" s="41"/>
    </row>
    <row r="376" spans="1:161" x14ac:dyDescent="0.25">
      <c r="A376" s="41"/>
      <c r="AC376" s="41"/>
      <c r="AD376" s="41"/>
      <c r="AE376" s="41"/>
      <c r="AF376" s="41"/>
      <c r="AG376" s="41"/>
      <c r="AH376" s="41"/>
      <c r="AI376" s="41"/>
      <c r="AJ376" s="41"/>
      <c r="AK376" s="41"/>
      <c r="BI376" s="41"/>
      <c r="BT376" s="48"/>
      <c r="BU376" s="47"/>
      <c r="CG376" s="48"/>
      <c r="CH376" s="41"/>
      <c r="CI376" s="41"/>
      <c r="CJ376" s="41"/>
      <c r="CK376" s="41"/>
      <c r="CL376" s="41"/>
      <c r="CM376" s="41"/>
      <c r="CN376" s="41"/>
      <c r="CO376" s="41"/>
      <c r="CP376" s="41"/>
      <c r="CQ376" s="41"/>
      <c r="CR376" s="41"/>
      <c r="CS376" s="41"/>
      <c r="CT376" s="41"/>
      <c r="CU376" s="41"/>
      <c r="CV376" s="41"/>
      <c r="CW376" s="41"/>
      <c r="CX376" s="41"/>
      <c r="CY376" s="41"/>
      <c r="CZ376" s="41"/>
      <c r="DA376" s="41"/>
      <c r="DB376" s="41"/>
      <c r="DC376" s="41"/>
      <c r="DD376" s="41"/>
      <c r="DE376" s="41"/>
      <c r="DF376" s="41"/>
      <c r="DG376" s="41"/>
      <c r="DH376" s="41"/>
      <c r="DI376" s="41"/>
      <c r="DJ376" s="41"/>
      <c r="DK376" s="41"/>
      <c r="DL376" s="41"/>
      <c r="DM376" s="41"/>
      <c r="DN376" s="41"/>
      <c r="DO376" s="41"/>
      <c r="DP376" s="41"/>
      <c r="DQ376" s="41"/>
      <c r="DR376" s="41"/>
      <c r="DS376" s="41"/>
      <c r="DT376" s="41"/>
      <c r="DU376" s="41"/>
      <c r="DV376" s="41"/>
      <c r="DW376" s="41"/>
      <c r="DX376" s="41"/>
      <c r="DY376" s="41"/>
      <c r="DZ376" s="41"/>
      <c r="EA376" s="41"/>
      <c r="EB376" s="41"/>
      <c r="EC376" s="41"/>
      <c r="ED376" s="41"/>
      <c r="EE376" s="41"/>
      <c r="EF376" s="41"/>
      <c r="EG376" s="41"/>
      <c r="EH376" s="41"/>
      <c r="EI376" s="41"/>
      <c r="EJ376" s="41"/>
      <c r="EK376" s="41"/>
      <c r="EL376" s="41"/>
      <c r="EM376" s="41"/>
      <c r="EN376" s="41"/>
      <c r="EO376" s="41"/>
      <c r="EP376" s="41"/>
      <c r="EQ376" s="41"/>
      <c r="ER376" s="41"/>
      <c r="ES376" s="41"/>
      <c r="ET376" s="41"/>
      <c r="EU376" s="41"/>
      <c r="EV376" s="41"/>
      <c r="EW376" s="41"/>
      <c r="EX376" s="41"/>
      <c r="EY376" s="41"/>
      <c r="EZ376" s="41"/>
      <c r="FA376" s="41"/>
      <c r="FB376" s="41"/>
      <c r="FC376" s="41"/>
      <c r="FD376" s="41"/>
      <c r="FE376" s="41"/>
    </row>
    <row r="377" spans="1:161" x14ac:dyDescent="0.25">
      <c r="A377" s="41"/>
      <c r="AC377" s="41"/>
      <c r="AD377" s="41"/>
      <c r="AE377" s="41"/>
      <c r="AF377" s="41"/>
      <c r="AG377" s="41"/>
      <c r="AH377" s="41"/>
      <c r="AI377" s="41"/>
      <c r="AJ377" s="41"/>
      <c r="AK377" s="41"/>
      <c r="BI377" s="41"/>
      <c r="BT377" s="48"/>
      <c r="BU377" s="47"/>
      <c r="CG377" s="48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  <c r="DB377" s="41"/>
      <c r="DC377" s="41"/>
      <c r="DD377" s="41"/>
      <c r="DE377" s="41"/>
      <c r="DF377" s="41"/>
      <c r="DG377" s="41"/>
      <c r="DH377" s="41"/>
      <c r="DI377" s="41"/>
      <c r="DJ377" s="41"/>
      <c r="DK377" s="41"/>
      <c r="DL377" s="41"/>
      <c r="DM377" s="41"/>
      <c r="DN377" s="41"/>
      <c r="DO377" s="41"/>
      <c r="DP377" s="41"/>
      <c r="DQ377" s="41"/>
      <c r="DR377" s="41"/>
      <c r="DS377" s="41"/>
      <c r="DT377" s="41"/>
      <c r="DU377" s="41"/>
      <c r="DV377" s="41"/>
      <c r="DW377" s="41"/>
      <c r="DX377" s="41"/>
      <c r="DY377" s="41"/>
      <c r="DZ377" s="41"/>
      <c r="EA377" s="41"/>
      <c r="EB377" s="41"/>
      <c r="EC377" s="41"/>
      <c r="ED377" s="41"/>
      <c r="EE377" s="41"/>
      <c r="EF377" s="41"/>
      <c r="EG377" s="41"/>
      <c r="EH377" s="41"/>
      <c r="EI377" s="41"/>
      <c r="EJ377" s="41"/>
      <c r="EK377" s="41"/>
      <c r="EL377" s="41"/>
      <c r="EM377" s="41"/>
      <c r="EN377" s="41"/>
      <c r="EO377" s="41"/>
      <c r="EP377" s="41"/>
      <c r="EQ377" s="41"/>
      <c r="ER377" s="41"/>
      <c r="ES377" s="41"/>
      <c r="ET377" s="41"/>
      <c r="EU377" s="41"/>
      <c r="EV377" s="41"/>
      <c r="EW377" s="41"/>
      <c r="EX377" s="41"/>
      <c r="EY377" s="41"/>
      <c r="EZ377" s="41"/>
      <c r="FA377" s="41"/>
      <c r="FB377" s="41"/>
      <c r="FC377" s="41"/>
      <c r="FD377" s="41"/>
      <c r="FE377" s="41"/>
    </row>
    <row r="378" spans="1:161" x14ac:dyDescent="0.25">
      <c r="A378" s="41"/>
      <c r="AC378" s="41"/>
      <c r="AD378" s="41"/>
      <c r="AE378" s="41"/>
      <c r="AF378" s="41"/>
      <c r="AG378" s="41"/>
      <c r="AH378" s="41"/>
      <c r="AI378" s="41"/>
      <c r="AJ378" s="41"/>
      <c r="AK378" s="41"/>
      <c r="BI378" s="41"/>
      <c r="BT378" s="48"/>
      <c r="BU378" s="47"/>
      <c r="CG378" s="48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  <c r="DG378" s="41"/>
      <c r="DH378" s="41"/>
      <c r="DI378" s="41"/>
      <c r="DJ378" s="41"/>
      <c r="DK378" s="41"/>
      <c r="DL378" s="41"/>
      <c r="DM378" s="41"/>
      <c r="DN378" s="41"/>
      <c r="DO378" s="41"/>
      <c r="DP378" s="41"/>
      <c r="DQ378" s="41"/>
      <c r="DR378" s="41"/>
      <c r="DS378" s="41"/>
      <c r="DT378" s="41"/>
      <c r="DU378" s="41"/>
      <c r="DV378" s="41"/>
      <c r="DW378" s="41"/>
      <c r="DX378" s="41"/>
      <c r="DY378" s="41"/>
      <c r="DZ378" s="41"/>
      <c r="EA378" s="41"/>
      <c r="EB378" s="41"/>
      <c r="EC378" s="41"/>
      <c r="ED378" s="41"/>
      <c r="EE378" s="41"/>
      <c r="EF378" s="41"/>
      <c r="EG378" s="41"/>
      <c r="EH378" s="41"/>
      <c r="EI378" s="41"/>
      <c r="EJ378" s="41"/>
      <c r="EK378" s="41"/>
      <c r="EL378" s="41"/>
      <c r="EM378" s="41"/>
      <c r="EN378" s="41"/>
      <c r="EO378" s="41"/>
      <c r="EP378" s="41"/>
      <c r="EQ378" s="41"/>
      <c r="ER378" s="41"/>
      <c r="ES378" s="41"/>
      <c r="ET378" s="41"/>
      <c r="EU378" s="41"/>
      <c r="EV378" s="41"/>
      <c r="EW378" s="41"/>
      <c r="EX378" s="41"/>
      <c r="EY378" s="41"/>
      <c r="EZ378" s="41"/>
      <c r="FA378" s="41"/>
      <c r="FB378" s="41"/>
      <c r="FC378" s="41"/>
      <c r="FD378" s="41"/>
      <c r="FE378" s="41"/>
    </row>
    <row r="379" spans="1:161" x14ac:dyDescent="0.25">
      <c r="A379" s="41"/>
      <c r="AC379" s="41"/>
      <c r="AD379" s="41"/>
      <c r="AE379" s="41"/>
      <c r="AF379" s="41"/>
      <c r="AG379" s="41"/>
      <c r="AH379" s="41"/>
      <c r="AI379" s="41"/>
      <c r="AJ379" s="41"/>
      <c r="AK379" s="41"/>
      <c r="BI379" s="41"/>
      <c r="BT379" s="48"/>
      <c r="BU379" s="47"/>
      <c r="CG379" s="48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  <c r="DG379" s="41"/>
      <c r="DH379" s="41"/>
      <c r="DI379" s="41"/>
      <c r="DJ379" s="41"/>
      <c r="DK379" s="41"/>
      <c r="DL379" s="41"/>
      <c r="DM379" s="41"/>
      <c r="DN379" s="41"/>
      <c r="DO379" s="41"/>
      <c r="DP379" s="41"/>
      <c r="DQ379" s="41"/>
      <c r="DR379" s="41"/>
      <c r="DS379" s="41"/>
      <c r="DT379" s="41"/>
      <c r="DU379" s="41"/>
      <c r="DV379" s="41"/>
      <c r="DW379" s="41"/>
      <c r="DX379" s="41"/>
      <c r="DY379" s="41"/>
      <c r="DZ379" s="41"/>
      <c r="EA379" s="41"/>
      <c r="EB379" s="41"/>
      <c r="EC379" s="41"/>
      <c r="ED379" s="41"/>
      <c r="EE379" s="41"/>
      <c r="EF379" s="41"/>
      <c r="EG379" s="41"/>
      <c r="EH379" s="41"/>
      <c r="EI379" s="41"/>
      <c r="EJ379" s="41"/>
      <c r="EK379" s="41"/>
      <c r="EL379" s="41"/>
      <c r="EM379" s="41"/>
      <c r="EN379" s="41"/>
      <c r="EO379" s="41"/>
      <c r="EP379" s="41"/>
      <c r="EQ379" s="41"/>
      <c r="ER379" s="41"/>
      <c r="ES379" s="41"/>
      <c r="ET379" s="41"/>
      <c r="EU379" s="41"/>
      <c r="EV379" s="41"/>
      <c r="EW379" s="41"/>
      <c r="EX379" s="41"/>
      <c r="EY379" s="41"/>
      <c r="EZ379" s="41"/>
      <c r="FA379" s="41"/>
      <c r="FB379" s="41"/>
      <c r="FC379" s="41"/>
      <c r="FD379" s="41"/>
      <c r="FE379" s="41"/>
    </row>
    <row r="380" spans="1:161" x14ac:dyDescent="0.25">
      <c r="A380" s="41"/>
      <c r="AC380" s="41"/>
      <c r="AD380" s="41"/>
      <c r="AE380" s="41"/>
      <c r="AF380" s="41"/>
      <c r="AG380" s="41"/>
      <c r="AH380" s="41"/>
      <c r="AI380" s="41"/>
      <c r="AJ380" s="41"/>
      <c r="AK380" s="41"/>
      <c r="BI380" s="41"/>
      <c r="BT380" s="48"/>
      <c r="BU380" s="47"/>
      <c r="CG380" s="48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41"/>
      <c r="DI380" s="41"/>
      <c r="DJ380" s="41"/>
      <c r="DK380" s="41"/>
      <c r="DL380" s="41"/>
      <c r="DM380" s="41"/>
      <c r="DN380" s="41"/>
      <c r="DO380" s="41"/>
      <c r="DP380" s="41"/>
      <c r="DQ380" s="41"/>
      <c r="DR380" s="41"/>
      <c r="DS380" s="41"/>
      <c r="DT380" s="41"/>
      <c r="DU380" s="41"/>
      <c r="DV380" s="41"/>
      <c r="DW380" s="41"/>
      <c r="DX380" s="41"/>
      <c r="DY380" s="41"/>
      <c r="DZ380" s="41"/>
      <c r="EA380" s="41"/>
      <c r="EB380" s="41"/>
      <c r="EC380" s="41"/>
      <c r="ED380" s="41"/>
      <c r="EE380" s="41"/>
      <c r="EF380" s="41"/>
      <c r="EG380" s="41"/>
      <c r="EH380" s="41"/>
      <c r="EI380" s="41"/>
      <c r="EJ380" s="41"/>
      <c r="EK380" s="41"/>
      <c r="EL380" s="41"/>
      <c r="EM380" s="41"/>
      <c r="EN380" s="41"/>
      <c r="EO380" s="41"/>
      <c r="EP380" s="41"/>
      <c r="EQ380" s="41"/>
      <c r="ER380" s="41"/>
      <c r="ES380" s="41"/>
      <c r="ET380" s="41"/>
      <c r="EU380" s="41"/>
      <c r="EV380" s="41"/>
      <c r="EW380" s="41"/>
      <c r="EX380" s="41"/>
      <c r="EY380" s="41"/>
      <c r="EZ380" s="41"/>
      <c r="FA380" s="41"/>
      <c r="FB380" s="41"/>
      <c r="FC380" s="41"/>
      <c r="FD380" s="41"/>
      <c r="FE380" s="41"/>
    </row>
    <row r="381" spans="1:161" x14ac:dyDescent="0.25">
      <c r="A381" s="41"/>
      <c r="AC381" s="41"/>
      <c r="AD381" s="41"/>
      <c r="AE381" s="41"/>
      <c r="AF381" s="41"/>
      <c r="AG381" s="41"/>
      <c r="AH381" s="41"/>
      <c r="AI381" s="41"/>
      <c r="AJ381" s="41"/>
      <c r="AK381" s="41"/>
      <c r="BI381" s="41"/>
      <c r="BT381" s="48"/>
      <c r="BU381" s="47"/>
      <c r="CG381" s="48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  <c r="DG381" s="41"/>
      <c r="DH381" s="41"/>
      <c r="DI381" s="41"/>
      <c r="DJ381" s="41"/>
      <c r="DK381" s="41"/>
      <c r="DL381" s="41"/>
      <c r="DM381" s="41"/>
      <c r="DN381" s="41"/>
      <c r="DO381" s="41"/>
      <c r="DP381" s="41"/>
      <c r="DQ381" s="41"/>
      <c r="DR381" s="41"/>
      <c r="DS381" s="41"/>
      <c r="DT381" s="41"/>
      <c r="DU381" s="41"/>
      <c r="DV381" s="41"/>
      <c r="DW381" s="41"/>
      <c r="DX381" s="41"/>
      <c r="DY381" s="41"/>
      <c r="DZ381" s="41"/>
      <c r="EA381" s="41"/>
      <c r="EB381" s="41"/>
      <c r="EC381" s="41"/>
      <c r="ED381" s="41"/>
      <c r="EE381" s="41"/>
      <c r="EF381" s="41"/>
      <c r="EG381" s="41"/>
      <c r="EH381" s="41"/>
      <c r="EI381" s="41"/>
      <c r="EJ381" s="41"/>
      <c r="EK381" s="41"/>
      <c r="EL381" s="41"/>
      <c r="EM381" s="41"/>
      <c r="EN381" s="41"/>
      <c r="EO381" s="41"/>
      <c r="EP381" s="41"/>
      <c r="EQ381" s="41"/>
      <c r="ER381" s="41"/>
      <c r="ES381" s="41"/>
      <c r="ET381" s="41"/>
      <c r="EU381" s="41"/>
      <c r="EV381" s="41"/>
      <c r="EW381" s="41"/>
      <c r="EX381" s="41"/>
      <c r="EY381" s="41"/>
      <c r="EZ381" s="41"/>
      <c r="FA381" s="41"/>
      <c r="FB381" s="41"/>
      <c r="FC381" s="41"/>
      <c r="FD381" s="41"/>
      <c r="FE381" s="41"/>
    </row>
    <row r="382" spans="1:161" x14ac:dyDescent="0.25">
      <c r="A382" s="41"/>
      <c r="AC382" s="41"/>
      <c r="AD382" s="41"/>
      <c r="AE382" s="41"/>
      <c r="AF382" s="41"/>
      <c r="AG382" s="41"/>
      <c r="AH382" s="41"/>
      <c r="AI382" s="41"/>
      <c r="AJ382" s="41"/>
      <c r="AK382" s="41"/>
      <c r="BI382" s="41"/>
      <c r="BT382" s="48"/>
      <c r="BU382" s="47"/>
      <c r="CG382" s="48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  <c r="DG382" s="41"/>
      <c r="DH382" s="41"/>
      <c r="DI382" s="41"/>
      <c r="DJ382" s="41"/>
      <c r="DK382" s="41"/>
      <c r="DL382" s="41"/>
      <c r="DM382" s="41"/>
      <c r="DN382" s="41"/>
      <c r="DO382" s="41"/>
      <c r="DP382" s="41"/>
      <c r="DQ382" s="41"/>
      <c r="DR382" s="41"/>
      <c r="DS382" s="41"/>
      <c r="DT382" s="41"/>
      <c r="DU382" s="41"/>
      <c r="DV382" s="41"/>
      <c r="DW382" s="41"/>
      <c r="DX382" s="41"/>
      <c r="DY382" s="41"/>
      <c r="DZ382" s="41"/>
      <c r="EA382" s="41"/>
      <c r="EB382" s="41"/>
      <c r="EC382" s="41"/>
      <c r="ED382" s="41"/>
      <c r="EE382" s="41"/>
      <c r="EF382" s="41"/>
      <c r="EG382" s="41"/>
      <c r="EH382" s="41"/>
      <c r="EI382" s="41"/>
      <c r="EJ382" s="41"/>
      <c r="EK382" s="41"/>
      <c r="EL382" s="41"/>
      <c r="EM382" s="41"/>
      <c r="EN382" s="41"/>
      <c r="EO382" s="41"/>
      <c r="EP382" s="41"/>
      <c r="EQ382" s="41"/>
      <c r="ER382" s="41"/>
      <c r="ES382" s="41"/>
      <c r="ET382" s="41"/>
      <c r="EU382" s="41"/>
      <c r="EV382" s="41"/>
      <c r="EW382" s="41"/>
      <c r="EX382" s="41"/>
      <c r="EY382" s="41"/>
      <c r="EZ382" s="41"/>
      <c r="FA382" s="41"/>
      <c r="FB382" s="41"/>
      <c r="FC382" s="41"/>
      <c r="FD382" s="41"/>
      <c r="FE382" s="41"/>
    </row>
    <row r="383" spans="1:161" x14ac:dyDescent="0.25">
      <c r="A383" s="41"/>
      <c r="AC383" s="41"/>
      <c r="AD383" s="41"/>
      <c r="AE383" s="41"/>
      <c r="AF383" s="41"/>
      <c r="AG383" s="41"/>
      <c r="AH383" s="41"/>
      <c r="AI383" s="41"/>
      <c r="AJ383" s="41"/>
      <c r="AK383" s="41"/>
      <c r="BI383" s="41"/>
      <c r="BT383" s="48"/>
      <c r="BU383" s="47"/>
      <c r="CG383" s="48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  <c r="DG383" s="41"/>
      <c r="DH383" s="41"/>
      <c r="DI383" s="41"/>
      <c r="DJ383" s="41"/>
      <c r="DK383" s="41"/>
      <c r="DL383" s="41"/>
      <c r="DM383" s="41"/>
      <c r="DN383" s="41"/>
      <c r="DO383" s="41"/>
      <c r="DP383" s="41"/>
      <c r="DQ383" s="41"/>
      <c r="DR383" s="41"/>
      <c r="DS383" s="41"/>
      <c r="DT383" s="41"/>
      <c r="DU383" s="41"/>
      <c r="DV383" s="41"/>
      <c r="DW383" s="41"/>
      <c r="DX383" s="41"/>
      <c r="DY383" s="41"/>
      <c r="DZ383" s="41"/>
      <c r="EA383" s="41"/>
      <c r="EB383" s="41"/>
      <c r="EC383" s="41"/>
      <c r="ED383" s="41"/>
      <c r="EE383" s="41"/>
      <c r="EF383" s="41"/>
      <c r="EG383" s="41"/>
      <c r="EH383" s="41"/>
      <c r="EI383" s="41"/>
      <c r="EJ383" s="41"/>
      <c r="EK383" s="41"/>
      <c r="EL383" s="41"/>
      <c r="EM383" s="41"/>
      <c r="EN383" s="41"/>
      <c r="EO383" s="41"/>
      <c r="EP383" s="41"/>
      <c r="EQ383" s="41"/>
      <c r="ER383" s="41"/>
      <c r="ES383" s="41"/>
      <c r="ET383" s="41"/>
      <c r="EU383" s="41"/>
      <c r="EV383" s="41"/>
      <c r="EW383" s="41"/>
      <c r="EX383" s="41"/>
      <c r="EY383" s="41"/>
      <c r="EZ383" s="41"/>
      <c r="FA383" s="41"/>
      <c r="FB383" s="41"/>
      <c r="FC383" s="41"/>
      <c r="FD383" s="41"/>
      <c r="FE383" s="41"/>
    </row>
    <row r="384" spans="1:161" x14ac:dyDescent="0.25">
      <c r="A384" s="41"/>
      <c r="AC384" s="41"/>
      <c r="AD384" s="41"/>
      <c r="AE384" s="41"/>
      <c r="AF384" s="41"/>
      <c r="AG384" s="41"/>
      <c r="AH384" s="41"/>
      <c r="AI384" s="41"/>
      <c r="AJ384" s="41"/>
      <c r="AK384" s="41"/>
      <c r="BI384" s="41"/>
      <c r="BT384" s="48"/>
      <c r="BU384" s="47"/>
      <c r="CG384" s="48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  <c r="DG384" s="41"/>
      <c r="DH384" s="41"/>
      <c r="DI384" s="41"/>
      <c r="DJ384" s="41"/>
      <c r="DK384" s="41"/>
      <c r="DL384" s="41"/>
      <c r="DM384" s="41"/>
      <c r="DN384" s="41"/>
      <c r="DO384" s="41"/>
      <c r="DP384" s="41"/>
      <c r="DQ384" s="41"/>
      <c r="DR384" s="41"/>
      <c r="DS384" s="41"/>
      <c r="DT384" s="41"/>
      <c r="DU384" s="41"/>
      <c r="DV384" s="41"/>
      <c r="DW384" s="41"/>
      <c r="DX384" s="41"/>
      <c r="DY384" s="41"/>
      <c r="DZ384" s="41"/>
      <c r="EA384" s="41"/>
      <c r="EB384" s="41"/>
      <c r="EC384" s="41"/>
      <c r="ED384" s="41"/>
      <c r="EE384" s="41"/>
      <c r="EF384" s="41"/>
      <c r="EG384" s="41"/>
      <c r="EH384" s="41"/>
      <c r="EI384" s="41"/>
      <c r="EJ384" s="41"/>
      <c r="EK384" s="41"/>
      <c r="EL384" s="41"/>
      <c r="EM384" s="41"/>
      <c r="EN384" s="41"/>
      <c r="EO384" s="41"/>
      <c r="EP384" s="41"/>
      <c r="EQ384" s="41"/>
      <c r="ER384" s="41"/>
      <c r="ES384" s="41"/>
      <c r="ET384" s="41"/>
      <c r="EU384" s="41"/>
      <c r="EV384" s="41"/>
      <c r="EW384" s="41"/>
      <c r="EX384" s="41"/>
      <c r="EY384" s="41"/>
      <c r="EZ384" s="41"/>
      <c r="FA384" s="41"/>
      <c r="FB384" s="41"/>
      <c r="FC384" s="41"/>
      <c r="FD384" s="41"/>
      <c r="FE384" s="41"/>
    </row>
    <row r="385" spans="1:161" x14ac:dyDescent="0.25">
      <c r="A385" s="41"/>
      <c r="AC385" s="41"/>
      <c r="AD385" s="41"/>
      <c r="AE385" s="41"/>
      <c r="AF385" s="41"/>
      <c r="AG385" s="41"/>
      <c r="AH385" s="41"/>
      <c r="AI385" s="41"/>
      <c r="AJ385" s="41"/>
      <c r="AK385" s="41"/>
      <c r="BI385" s="41"/>
      <c r="BT385" s="48"/>
      <c r="BU385" s="47"/>
      <c r="CG385" s="48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  <c r="DG385" s="41"/>
      <c r="DH385" s="41"/>
      <c r="DI385" s="41"/>
      <c r="DJ385" s="41"/>
      <c r="DK385" s="41"/>
      <c r="DL385" s="41"/>
      <c r="DM385" s="41"/>
      <c r="DN385" s="41"/>
      <c r="DO385" s="41"/>
      <c r="DP385" s="41"/>
      <c r="DQ385" s="41"/>
      <c r="DR385" s="41"/>
      <c r="DS385" s="41"/>
      <c r="DT385" s="41"/>
      <c r="DU385" s="41"/>
      <c r="DV385" s="41"/>
      <c r="DW385" s="41"/>
      <c r="DX385" s="41"/>
      <c r="DY385" s="41"/>
      <c r="DZ385" s="41"/>
      <c r="EA385" s="41"/>
      <c r="EB385" s="41"/>
      <c r="EC385" s="41"/>
      <c r="ED385" s="41"/>
      <c r="EE385" s="41"/>
      <c r="EF385" s="41"/>
      <c r="EG385" s="41"/>
      <c r="EH385" s="41"/>
      <c r="EI385" s="41"/>
      <c r="EJ385" s="41"/>
      <c r="EK385" s="41"/>
      <c r="EL385" s="41"/>
      <c r="EM385" s="41"/>
      <c r="EN385" s="41"/>
      <c r="EO385" s="41"/>
      <c r="EP385" s="41"/>
      <c r="EQ385" s="41"/>
      <c r="ER385" s="41"/>
      <c r="ES385" s="41"/>
      <c r="ET385" s="41"/>
      <c r="EU385" s="41"/>
      <c r="EV385" s="41"/>
      <c r="EW385" s="41"/>
      <c r="EX385" s="41"/>
      <c r="EY385" s="41"/>
      <c r="EZ385" s="41"/>
      <c r="FA385" s="41"/>
      <c r="FB385" s="41"/>
      <c r="FC385" s="41"/>
      <c r="FD385" s="41"/>
      <c r="FE385" s="41"/>
    </row>
    <row r="386" spans="1:161" x14ac:dyDescent="0.25">
      <c r="A386" s="41"/>
      <c r="AC386" s="41"/>
      <c r="AD386" s="41"/>
      <c r="AE386" s="41"/>
      <c r="AF386" s="41"/>
      <c r="AG386" s="41"/>
      <c r="AH386" s="41"/>
      <c r="AI386" s="41"/>
      <c r="AJ386" s="41"/>
      <c r="AK386" s="41"/>
      <c r="BI386" s="41"/>
      <c r="BT386" s="48"/>
      <c r="BU386" s="47"/>
      <c r="CG386" s="48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  <c r="DG386" s="41"/>
      <c r="DH386" s="41"/>
      <c r="DI386" s="41"/>
      <c r="DJ386" s="41"/>
      <c r="DK386" s="41"/>
      <c r="DL386" s="41"/>
      <c r="DM386" s="41"/>
      <c r="DN386" s="41"/>
      <c r="DO386" s="41"/>
      <c r="DP386" s="41"/>
      <c r="DQ386" s="41"/>
      <c r="DR386" s="41"/>
      <c r="DS386" s="41"/>
      <c r="DT386" s="41"/>
      <c r="DU386" s="41"/>
      <c r="DV386" s="41"/>
      <c r="DW386" s="41"/>
      <c r="DX386" s="41"/>
      <c r="DY386" s="41"/>
      <c r="DZ386" s="41"/>
      <c r="EA386" s="41"/>
      <c r="EB386" s="41"/>
      <c r="EC386" s="41"/>
      <c r="ED386" s="41"/>
      <c r="EE386" s="41"/>
      <c r="EF386" s="41"/>
      <c r="EG386" s="41"/>
      <c r="EH386" s="41"/>
      <c r="EI386" s="41"/>
      <c r="EJ386" s="41"/>
      <c r="EK386" s="41"/>
      <c r="EL386" s="41"/>
      <c r="EM386" s="41"/>
      <c r="EN386" s="41"/>
      <c r="EO386" s="41"/>
      <c r="EP386" s="41"/>
      <c r="EQ386" s="41"/>
      <c r="ER386" s="41"/>
      <c r="ES386" s="41"/>
      <c r="ET386" s="41"/>
      <c r="EU386" s="41"/>
      <c r="EV386" s="41"/>
      <c r="EW386" s="41"/>
      <c r="EX386" s="41"/>
      <c r="EY386" s="41"/>
      <c r="EZ386" s="41"/>
      <c r="FA386" s="41"/>
      <c r="FB386" s="41"/>
      <c r="FC386" s="41"/>
      <c r="FD386" s="41"/>
      <c r="FE386" s="41"/>
    </row>
    <row r="387" spans="1:161" x14ac:dyDescent="0.25">
      <c r="A387" s="41"/>
      <c r="AC387" s="41"/>
      <c r="AD387" s="41"/>
      <c r="AE387" s="41"/>
      <c r="AF387" s="41"/>
      <c r="AG387" s="41"/>
      <c r="AH387" s="41"/>
      <c r="AI387" s="41"/>
      <c r="AJ387" s="41"/>
      <c r="AK387" s="41"/>
      <c r="BI387" s="41"/>
      <c r="BT387" s="48"/>
      <c r="BU387" s="47"/>
      <c r="CG387" s="48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  <c r="DL387" s="41"/>
      <c r="DM387" s="41"/>
      <c r="DN387" s="41"/>
      <c r="DO387" s="41"/>
      <c r="DP387" s="41"/>
      <c r="DQ387" s="41"/>
      <c r="DR387" s="41"/>
      <c r="DS387" s="41"/>
      <c r="DT387" s="41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  <c r="EE387" s="41"/>
      <c r="EF387" s="41"/>
      <c r="EG387" s="41"/>
      <c r="EH387" s="41"/>
      <c r="EI387" s="41"/>
      <c r="EJ387" s="41"/>
      <c r="EK387" s="41"/>
      <c r="EL387" s="41"/>
      <c r="EM387" s="41"/>
      <c r="EN387" s="41"/>
      <c r="EO387" s="41"/>
      <c r="EP387" s="41"/>
      <c r="EQ387" s="41"/>
      <c r="ER387" s="41"/>
      <c r="ES387" s="41"/>
      <c r="ET387" s="41"/>
      <c r="EU387" s="41"/>
      <c r="EV387" s="41"/>
      <c r="EW387" s="41"/>
      <c r="EX387" s="41"/>
      <c r="EY387" s="41"/>
      <c r="EZ387" s="41"/>
      <c r="FA387" s="41"/>
      <c r="FB387" s="41"/>
      <c r="FC387" s="41"/>
      <c r="FD387" s="41"/>
      <c r="FE387" s="41"/>
    </row>
    <row r="388" spans="1:161" x14ac:dyDescent="0.25">
      <c r="A388" s="41"/>
      <c r="AC388" s="41"/>
      <c r="AD388" s="41"/>
      <c r="AE388" s="41"/>
      <c r="AF388" s="41"/>
      <c r="AG388" s="41"/>
      <c r="AH388" s="41"/>
      <c r="AI388" s="41"/>
      <c r="AJ388" s="41"/>
      <c r="AK388" s="41"/>
      <c r="BI388" s="41"/>
      <c r="BT388" s="48"/>
      <c r="BU388" s="47"/>
      <c r="CG388" s="48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  <c r="DL388" s="41"/>
      <c r="DM388" s="41"/>
      <c r="DN388" s="41"/>
      <c r="DO388" s="41"/>
      <c r="DP388" s="41"/>
      <c r="DQ388" s="41"/>
      <c r="DR388" s="41"/>
      <c r="DS388" s="41"/>
      <c r="DT388" s="41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  <c r="EL388" s="41"/>
      <c r="EM388" s="41"/>
      <c r="EN388" s="41"/>
      <c r="EO388" s="41"/>
      <c r="EP388" s="41"/>
      <c r="EQ388" s="41"/>
      <c r="ER388" s="41"/>
      <c r="ES388" s="41"/>
      <c r="ET388" s="41"/>
      <c r="EU388" s="41"/>
      <c r="EV388" s="41"/>
      <c r="EW388" s="41"/>
      <c r="EX388" s="41"/>
      <c r="EY388" s="41"/>
      <c r="EZ388" s="41"/>
      <c r="FA388" s="41"/>
      <c r="FB388" s="41"/>
      <c r="FC388" s="41"/>
      <c r="FD388" s="41"/>
      <c r="FE388" s="41"/>
    </row>
    <row r="389" spans="1:161" x14ac:dyDescent="0.25">
      <c r="A389" s="41"/>
      <c r="AC389" s="41"/>
      <c r="AD389" s="41"/>
      <c r="AE389" s="41"/>
      <c r="AF389" s="41"/>
      <c r="AG389" s="41"/>
      <c r="AH389" s="41"/>
      <c r="AI389" s="41"/>
      <c r="AJ389" s="41"/>
      <c r="AK389" s="41"/>
      <c r="BI389" s="41"/>
      <c r="BT389" s="48"/>
      <c r="BU389" s="47"/>
      <c r="CG389" s="48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  <c r="DL389" s="41"/>
      <c r="DM389" s="41"/>
      <c r="DN389" s="41"/>
      <c r="DO389" s="41"/>
      <c r="DP389" s="41"/>
      <c r="DQ389" s="41"/>
      <c r="DR389" s="41"/>
      <c r="DS389" s="41"/>
      <c r="DT389" s="41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  <c r="EL389" s="41"/>
      <c r="EM389" s="41"/>
      <c r="EN389" s="41"/>
      <c r="EO389" s="41"/>
      <c r="EP389" s="41"/>
      <c r="EQ389" s="41"/>
      <c r="ER389" s="41"/>
      <c r="ES389" s="41"/>
      <c r="ET389" s="41"/>
      <c r="EU389" s="41"/>
      <c r="EV389" s="41"/>
      <c r="EW389" s="41"/>
      <c r="EX389" s="41"/>
      <c r="EY389" s="41"/>
      <c r="EZ389" s="41"/>
      <c r="FA389" s="41"/>
      <c r="FB389" s="41"/>
      <c r="FC389" s="41"/>
      <c r="FD389" s="41"/>
      <c r="FE389" s="41"/>
    </row>
    <row r="390" spans="1:161" x14ac:dyDescent="0.25">
      <c r="A390" s="41"/>
      <c r="AC390" s="41"/>
      <c r="AD390" s="41"/>
      <c r="AE390" s="41"/>
      <c r="AF390" s="41"/>
      <c r="AG390" s="41"/>
      <c r="AH390" s="41"/>
      <c r="AI390" s="41"/>
      <c r="AJ390" s="41"/>
      <c r="AK390" s="41"/>
      <c r="BI390" s="41"/>
      <c r="BT390" s="48"/>
      <c r="BU390" s="47"/>
      <c r="CG390" s="48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  <c r="DL390" s="41"/>
      <c r="DM390" s="41"/>
      <c r="DN390" s="41"/>
      <c r="DO390" s="41"/>
      <c r="DP390" s="41"/>
      <c r="DQ390" s="41"/>
      <c r="DR390" s="41"/>
      <c r="DS390" s="41"/>
      <c r="DT390" s="41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  <c r="EL390" s="41"/>
      <c r="EM390" s="41"/>
      <c r="EN390" s="41"/>
      <c r="EO390" s="41"/>
      <c r="EP390" s="41"/>
      <c r="EQ390" s="41"/>
      <c r="ER390" s="41"/>
      <c r="ES390" s="41"/>
      <c r="ET390" s="41"/>
      <c r="EU390" s="41"/>
      <c r="EV390" s="41"/>
      <c r="EW390" s="41"/>
      <c r="EX390" s="41"/>
      <c r="EY390" s="41"/>
      <c r="EZ390" s="41"/>
      <c r="FA390" s="41"/>
      <c r="FB390" s="41"/>
      <c r="FC390" s="41"/>
      <c r="FD390" s="41"/>
      <c r="FE390" s="41"/>
    </row>
    <row r="391" spans="1:161" x14ac:dyDescent="0.25">
      <c r="A391" s="41"/>
      <c r="AC391" s="41"/>
      <c r="AD391" s="41"/>
      <c r="AE391" s="41"/>
      <c r="AF391" s="41"/>
      <c r="AG391" s="41"/>
      <c r="AH391" s="41"/>
      <c r="AI391" s="41"/>
      <c r="AJ391" s="41"/>
      <c r="AK391" s="41"/>
      <c r="BI391" s="41"/>
      <c r="BT391" s="48"/>
      <c r="BU391" s="47"/>
      <c r="CG391" s="48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41"/>
      <c r="DI391" s="41"/>
      <c r="DJ391" s="41"/>
      <c r="DK391" s="41"/>
      <c r="DL391" s="41"/>
      <c r="DM391" s="41"/>
      <c r="DN391" s="41"/>
      <c r="DO391" s="41"/>
      <c r="DP391" s="41"/>
      <c r="DQ391" s="41"/>
      <c r="DR391" s="41"/>
      <c r="DS391" s="41"/>
      <c r="DT391" s="41"/>
      <c r="DU391" s="41"/>
      <c r="DV391" s="41"/>
      <c r="DW391" s="41"/>
      <c r="DX391" s="41"/>
      <c r="DY391" s="41"/>
      <c r="DZ391" s="41"/>
      <c r="EA391" s="41"/>
      <c r="EB391" s="41"/>
      <c r="EC391" s="41"/>
      <c r="ED391" s="41"/>
      <c r="EE391" s="41"/>
      <c r="EF391" s="41"/>
      <c r="EG391" s="41"/>
      <c r="EH391" s="41"/>
      <c r="EI391" s="41"/>
      <c r="EJ391" s="41"/>
      <c r="EK391" s="41"/>
      <c r="EL391" s="41"/>
      <c r="EM391" s="41"/>
      <c r="EN391" s="41"/>
      <c r="EO391" s="41"/>
      <c r="EP391" s="41"/>
      <c r="EQ391" s="41"/>
      <c r="ER391" s="41"/>
      <c r="ES391" s="41"/>
      <c r="ET391" s="41"/>
      <c r="EU391" s="41"/>
      <c r="EV391" s="41"/>
      <c r="EW391" s="41"/>
      <c r="EX391" s="41"/>
      <c r="EY391" s="41"/>
      <c r="EZ391" s="41"/>
      <c r="FA391" s="41"/>
      <c r="FB391" s="41"/>
      <c r="FC391" s="41"/>
      <c r="FD391" s="41"/>
      <c r="FE391" s="41"/>
    </row>
    <row r="392" spans="1:161" x14ac:dyDescent="0.25">
      <c r="A392" s="41"/>
      <c r="AC392" s="41"/>
      <c r="AD392" s="41"/>
      <c r="AE392" s="41"/>
      <c r="AF392" s="41"/>
      <c r="AG392" s="41"/>
      <c r="AH392" s="41"/>
      <c r="AI392" s="41"/>
      <c r="AJ392" s="41"/>
      <c r="AK392" s="41"/>
      <c r="BI392" s="41"/>
      <c r="BT392" s="48"/>
      <c r="BU392" s="47"/>
      <c r="CG392" s="48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41"/>
      <c r="DI392" s="41"/>
      <c r="DJ392" s="41"/>
      <c r="DK392" s="41"/>
      <c r="DL392" s="41"/>
      <c r="DM392" s="41"/>
      <c r="DN392" s="41"/>
      <c r="DO392" s="41"/>
      <c r="DP392" s="41"/>
      <c r="DQ392" s="41"/>
      <c r="DR392" s="41"/>
      <c r="DS392" s="41"/>
      <c r="DT392" s="41"/>
      <c r="DU392" s="41"/>
      <c r="DV392" s="41"/>
      <c r="DW392" s="41"/>
      <c r="DX392" s="41"/>
      <c r="DY392" s="41"/>
      <c r="DZ392" s="41"/>
      <c r="EA392" s="41"/>
      <c r="EB392" s="41"/>
      <c r="EC392" s="41"/>
      <c r="ED392" s="41"/>
      <c r="EE392" s="41"/>
      <c r="EF392" s="41"/>
      <c r="EG392" s="41"/>
      <c r="EH392" s="41"/>
      <c r="EI392" s="41"/>
      <c r="EJ392" s="41"/>
      <c r="EK392" s="41"/>
      <c r="EL392" s="41"/>
      <c r="EM392" s="41"/>
      <c r="EN392" s="41"/>
      <c r="EO392" s="41"/>
      <c r="EP392" s="41"/>
      <c r="EQ392" s="41"/>
      <c r="ER392" s="41"/>
      <c r="ES392" s="41"/>
      <c r="ET392" s="41"/>
      <c r="EU392" s="41"/>
      <c r="EV392" s="41"/>
      <c r="EW392" s="41"/>
      <c r="EX392" s="41"/>
      <c r="EY392" s="41"/>
      <c r="EZ392" s="41"/>
      <c r="FA392" s="41"/>
      <c r="FB392" s="41"/>
      <c r="FC392" s="41"/>
      <c r="FD392" s="41"/>
      <c r="FE392" s="41"/>
    </row>
    <row r="393" spans="1:161" x14ac:dyDescent="0.25">
      <c r="A393" s="41"/>
      <c r="AC393" s="41"/>
      <c r="AD393" s="41"/>
      <c r="AE393" s="41"/>
      <c r="AF393" s="41"/>
      <c r="AG393" s="41"/>
      <c r="AH393" s="41"/>
      <c r="AI393" s="41"/>
      <c r="AJ393" s="41"/>
      <c r="AK393" s="41"/>
      <c r="BI393" s="41"/>
      <c r="BT393" s="48"/>
      <c r="BU393" s="47"/>
      <c r="CG393" s="48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  <c r="DG393" s="41"/>
      <c r="DH393" s="41"/>
      <c r="DI393" s="41"/>
      <c r="DJ393" s="41"/>
      <c r="DK393" s="41"/>
      <c r="DL393" s="41"/>
      <c r="DM393" s="41"/>
      <c r="DN393" s="41"/>
      <c r="DO393" s="41"/>
      <c r="DP393" s="41"/>
      <c r="DQ393" s="41"/>
      <c r="DR393" s="41"/>
      <c r="DS393" s="41"/>
      <c r="DT393" s="41"/>
      <c r="DU393" s="41"/>
      <c r="DV393" s="41"/>
      <c r="DW393" s="41"/>
      <c r="DX393" s="41"/>
      <c r="DY393" s="41"/>
      <c r="DZ393" s="41"/>
      <c r="EA393" s="41"/>
      <c r="EB393" s="41"/>
      <c r="EC393" s="41"/>
      <c r="ED393" s="41"/>
      <c r="EE393" s="41"/>
      <c r="EF393" s="41"/>
      <c r="EG393" s="41"/>
      <c r="EH393" s="41"/>
      <c r="EI393" s="41"/>
      <c r="EJ393" s="41"/>
      <c r="EK393" s="41"/>
      <c r="EL393" s="41"/>
      <c r="EM393" s="41"/>
      <c r="EN393" s="41"/>
      <c r="EO393" s="41"/>
      <c r="EP393" s="41"/>
      <c r="EQ393" s="41"/>
      <c r="ER393" s="41"/>
      <c r="ES393" s="41"/>
      <c r="ET393" s="41"/>
      <c r="EU393" s="41"/>
      <c r="EV393" s="41"/>
      <c r="EW393" s="41"/>
      <c r="EX393" s="41"/>
      <c r="EY393" s="41"/>
      <c r="EZ393" s="41"/>
      <c r="FA393" s="41"/>
      <c r="FB393" s="41"/>
      <c r="FC393" s="41"/>
      <c r="FD393" s="41"/>
      <c r="FE393" s="41"/>
    </row>
    <row r="394" spans="1:161" x14ac:dyDescent="0.25">
      <c r="A394" s="41"/>
      <c r="AC394" s="41"/>
      <c r="AD394" s="41"/>
      <c r="AE394" s="41"/>
      <c r="AF394" s="41"/>
      <c r="AG394" s="41"/>
      <c r="AH394" s="41"/>
      <c r="AI394" s="41"/>
      <c r="AJ394" s="41"/>
      <c r="AK394" s="41"/>
      <c r="BI394" s="41"/>
      <c r="BT394" s="48"/>
      <c r="BU394" s="47"/>
      <c r="CG394" s="48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41"/>
      <c r="DI394" s="41"/>
      <c r="DJ394" s="41"/>
      <c r="DK394" s="41"/>
      <c r="DL394" s="41"/>
      <c r="DM394" s="41"/>
      <c r="DN394" s="41"/>
      <c r="DO394" s="41"/>
      <c r="DP394" s="41"/>
      <c r="DQ394" s="41"/>
      <c r="DR394" s="41"/>
      <c r="DS394" s="41"/>
      <c r="DT394" s="41"/>
      <c r="DU394" s="41"/>
      <c r="DV394" s="41"/>
      <c r="DW394" s="41"/>
      <c r="DX394" s="41"/>
      <c r="DY394" s="41"/>
      <c r="DZ394" s="41"/>
      <c r="EA394" s="41"/>
      <c r="EB394" s="41"/>
      <c r="EC394" s="41"/>
      <c r="ED394" s="41"/>
      <c r="EE394" s="41"/>
      <c r="EF394" s="41"/>
      <c r="EG394" s="41"/>
      <c r="EH394" s="41"/>
      <c r="EI394" s="41"/>
      <c r="EJ394" s="41"/>
      <c r="EK394" s="41"/>
      <c r="EL394" s="41"/>
      <c r="EM394" s="41"/>
      <c r="EN394" s="41"/>
      <c r="EO394" s="41"/>
      <c r="EP394" s="41"/>
      <c r="EQ394" s="41"/>
      <c r="ER394" s="41"/>
      <c r="ES394" s="41"/>
      <c r="ET394" s="41"/>
      <c r="EU394" s="41"/>
      <c r="EV394" s="41"/>
      <c r="EW394" s="41"/>
      <c r="EX394" s="41"/>
      <c r="EY394" s="41"/>
      <c r="EZ394" s="41"/>
      <c r="FA394" s="41"/>
      <c r="FB394" s="41"/>
      <c r="FC394" s="41"/>
      <c r="FD394" s="41"/>
      <c r="FE394" s="41"/>
    </row>
    <row r="395" spans="1:161" x14ac:dyDescent="0.25">
      <c r="A395" s="41"/>
      <c r="AC395" s="41"/>
      <c r="AD395" s="41"/>
      <c r="AE395" s="41"/>
      <c r="AF395" s="41"/>
      <c r="AG395" s="41"/>
      <c r="AH395" s="41"/>
      <c r="AI395" s="41"/>
      <c r="AJ395" s="41"/>
      <c r="AK395" s="41"/>
      <c r="BI395" s="41"/>
      <c r="BT395" s="48"/>
      <c r="BU395" s="47"/>
      <c r="CG395" s="48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  <c r="DG395" s="41"/>
      <c r="DH395" s="41"/>
      <c r="DI395" s="41"/>
      <c r="DJ395" s="41"/>
      <c r="DK395" s="41"/>
      <c r="DL395" s="41"/>
      <c r="DM395" s="41"/>
      <c r="DN395" s="41"/>
      <c r="DO395" s="41"/>
      <c r="DP395" s="41"/>
      <c r="DQ395" s="41"/>
      <c r="DR395" s="41"/>
      <c r="DS395" s="41"/>
      <c r="DT395" s="41"/>
      <c r="DU395" s="41"/>
      <c r="DV395" s="41"/>
      <c r="DW395" s="41"/>
      <c r="DX395" s="41"/>
      <c r="DY395" s="41"/>
      <c r="DZ395" s="41"/>
      <c r="EA395" s="41"/>
      <c r="EB395" s="41"/>
      <c r="EC395" s="41"/>
      <c r="ED395" s="41"/>
      <c r="EE395" s="41"/>
      <c r="EF395" s="41"/>
      <c r="EG395" s="41"/>
      <c r="EH395" s="41"/>
      <c r="EI395" s="41"/>
      <c r="EJ395" s="41"/>
      <c r="EK395" s="41"/>
      <c r="EL395" s="41"/>
      <c r="EM395" s="41"/>
      <c r="EN395" s="41"/>
      <c r="EO395" s="41"/>
      <c r="EP395" s="41"/>
      <c r="EQ395" s="41"/>
      <c r="ER395" s="41"/>
      <c r="ES395" s="41"/>
      <c r="ET395" s="41"/>
      <c r="EU395" s="41"/>
      <c r="EV395" s="41"/>
      <c r="EW395" s="41"/>
      <c r="EX395" s="41"/>
      <c r="EY395" s="41"/>
      <c r="EZ395" s="41"/>
      <c r="FA395" s="41"/>
      <c r="FB395" s="41"/>
      <c r="FC395" s="41"/>
      <c r="FD395" s="41"/>
      <c r="FE395" s="41"/>
    </row>
    <row r="396" spans="1:161" x14ac:dyDescent="0.25">
      <c r="A396" s="41"/>
      <c r="AC396" s="41"/>
      <c r="AD396" s="41"/>
      <c r="AE396" s="41"/>
      <c r="AF396" s="41"/>
      <c r="AG396" s="41"/>
      <c r="AH396" s="41"/>
      <c r="AI396" s="41"/>
      <c r="AJ396" s="41"/>
      <c r="AK396" s="41"/>
      <c r="BI396" s="41"/>
      <c r="BT396" s="48"/>
      <c r="BU396" s="47"/>
      <c r="CG396" s="48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1"/>
      <c r="DJ396" s="41"/>
      <c r="DK396" s="41"/>
      <c r="DL396" s="41"/>
      <c r="DM396" s="41"/>
      <c r="DN396" s="41"/>
      <c r="DO396" s="41"/>
      <c r="DP396" s="41"/>
      <c r="DQ396" s="41"/>
      <c r="DR396" s="41"/>
      <c r="DS396" s="41"/>
      <c r="DT396" s="41"/>
      <c r="DU396" s="41"/>
      <c r="DV396" s="41"/>
      <c r="DW396" s="41"/>
      <c r="DX396" s="41"/>
      <c r="DY396" s="41"/>
      <c r="DZ396" s="41"/>
      <c r="EA396" s="41"/>
      <c r="EB396" s="41"/>
      <c r="EC396" s="41"/>
      <c r="ED396" s="41"/>
      <c r="EE396" s="41"/>
      <c r="EF396" s="41"/>
      <c r="EG396" s="41"/>
      <c r="EH396" s="41"/>
      <c r="EI396" s="41"/>
      <c r="EJ396" s="41"/>
      <c r="EK396" s="41"/>
      <c r="EL396" s="41"/>
      <c r="EM396" s="41"/>
      <c r="EN396" s="41"/>
      <c r="EO396" s="41"/>
      <c r="EP396" s="41"/>
      <c r="EQ396" s="41"/>
      <c r="ER396" s="41"/>
      <c r="ES396" s="41"/>
      <c r="ET396" s="41"/>
      <c r="EU396" s="41"/>
      <c r="EV396" s="41"/>
      <c r="EW396" s="41"/>
      <c r="EX396" s="41"/>
      <c r="EY396" s="41"/>
      <c r="EZ396" s="41"/>
      <c r="FA396" s="41"/>
      <c r="FB396" s="41"/>
      <c r="FC396" s="41"/>
      <c r="FD396" s="41"/>
      <c r="FE396" s="41"/>
    </row>
    <row r="397" spans="1:161" x14ac:dyDescent="0.25">
      <c r="A397" s="41"/>
      <c r="AC397" s="41"/>
      <c r="AD397" s="41"/>
      <c r="AE397" s="41"/>
      <c r="AF397" s="41"/>
      <c r="AG397" s="41"/>
      <c r="AH397" s="41"/>
      <c r="AI397" s="41"/>
      <c r="AJ397" s="41"/>
      <c r="AK397" s="41"/>
      <c r="BI397" s="41"/>
      <c r="BT397" s="48"/>
      <c r="BU397" s="47"/>
      <c r="CG397" s="48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1"/>
      <c r="DJ397" s="41"/>
      <c r="DK397" s="41"/>
      <c r="DL397" s="41"/>
      <c r="DM397" s="41"/>
      <c r="DN397" s="41"/>
      <c r="DO397" s="41"/>
      <c r="DP397" s="41"/>
      <c r="DQ397" s="41"/>
      <c r="DR397" s="41"/>
      <c r="DS397" s="41"/>
      <c r="DT397" s="41"/>
      <c r="DU397" s="41"/>
      <c r="DV397" s="41"/>
      <c r="DW397" s="41"/>
      <c r="DX397" s="41"/>
      <c r="DY397" s="41"/>
      <c r="DZ397" s="41"/>
      <c r="EA397" s="41"/>
      <c r="EB397" s="41"/>
      <c r="EC397" s="41"/>
      <c r="ED397" s="41"/>
      <c r="EE397" s="41"/>
      <c r="EF397" s="41"/>
      <c r="EG397" s="41"/>
      <c r="EH397" s="41"/>
      <c r="EI397" s="41"/>
      <c r="EJ397" s="41"/>
      <c r="EK397" s="41"/>
      <c r="EL397" s="41"/>
      <c r="EM397" s="41"/>
      <c r="EN397" s="41"/>
      <c r="EO397" s="41"/>
      <c r="EP397" s="41"/>
      <c r="EQ397" s="41"/>
      <c r="ER397" s="41"/>
      <c r="ES397" s="41"/>
      <c r="ET397" s="41"/>
      <c r="EU397" s="41"/>
      <c r="EV397" s="41"/>
      <c r="EW397" s="41"/>
      <c r="EX397" s="41"/>
      <c r="EY397" s="41"/>
      <c r="EZ397" s="41"/>
      <c r="FA397" s="41"/>
      <c r="FB397" s="41"/>
      <c r="FC397" s="41"/>
      <c r="FD397" s="41"/>
      <c r="FE397" s="41"/>
    </row>
    <row r="398" spans="1:161" x14ac:dyDescent="0.25">
      <c r="A398" s="41"/>
      <c r="AC398" s="41"/>
      <c r="AD398" s="41"/>
      <c r="AE398" s="41"/>
      <c r="AF398" s="41"/>
      <c r="AG398" s="41"/>
      <c r="AH398" s="41"/>
      <c r="AI398" s="41"/>
      <c r="AJ398" s="41"/>
      <c r="AK398" s="41"/>
      <c r="BI398" s="41"/>
      <c r="BT398" s="48"/>
      <c r="BU398" s="47"/>
      <c r="CG398" s="48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41"/>
      <c r="DI398" s="41"/>
      <c r="DJ398" s="41"/>
      <c r="DK398" s="41"/>
      <c r="DL398" s="41"/>
      <c r="DM398" s="41"/>
      <c r="DN398" s="41"/>
      <c r="DO398" s="41"/>
      <c r="DP398" s="41"/>
      <c r="DQ398" s="41"/>
      <c r="DR398" s="41"/>
      <c r="DS398" s="41"/>
      <c r="DT398" s="41"/>
      <c r="DU398" s="41"/>
      <c r="DV398" s="41"/>
      <c r="DW398" s="41"/>
      <c r="DX398" s="41"/>
      <c r="DY398" s="41"/>
      <c r="DZ398" s="41"/>
      <c r="EA398" s="41"/>
      <c r="EB398" s="41"/>
      <c r="EC398" s="41"/>
      <c r="ED398" s="41"/>
      <c r="EE398" s="41"/>
      <c r="EF398" s="41"/>
      <c r="EG398" s="41"/>
      <c r="EH398" s="41"/>
      <c r="EI398" s="41"/>
      <c r="EJ398" s="41"/>
      <c r="EK398" s="41"/>
      <c r="EL398" s="41"/>
      <c r="EM398" s="41"/>
      <c r="EN398" s="41"/>
      <c r="EO398" s="41"/>
      <c r="EP398" s="41"/>
      <c r="EQ398" s="41"/>
      <c r="ER398" s="41"/>
      <c r="ES398" s="41"/>
      <c r="ET398" s="41"/>
      <c r="EU398" s="41"/>
      <c r="EV398" s="41"/>
      <c r="EW398" s="41"/>
      <c r="EX398" s="41"/>
      <c r="EY398" s="41"/>
      <c r="EZ398" s="41"/>
      <c r="FA398" s="41"/>
      <c r="FB398" s="41"/>
      <c r="FC398" s="41"/>
      <c r="FD398" s="41"/>
      <c r="FE398" s="41"/>
    </row>
    <row r="399" spans="1:161" x14ac:dyDescent="0.25">
      <c r="A399" s="41"/>
      <c r="AC399" s="41"/>
      <c r="AD399" s="41"/>
      <c r="AE399" s="41"/>
      <c r="AF399" s="41"/>
      <c r="AG399" s="41"/>
      <c r="AH399" s="41"/>
      <c r="AI399" s="41"/>
      <c r="AJ399" s="41"/>
      <c r="AK399" s="41"/>
      <c r="BI399" s="41"/>
      <c r="BT399" s="48"/>
      <c r="BU399" s="47"/>
      <c r="CG399" s="48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41"/>
      <c r="DI399" s="41"/>
      <c r="DJ399" s="41"/>
      <c r="DK399" s="41"/>
      <c r="DL399" s="41"/>
      <c r="DM399" s="41"/>
      <c r="DN399" s="41"/>
      <c r="DO399" s="41"/>
      <c r="DP399" s="41"/>
      <c r="DQ399" s="41"/>
      <c r="DR399" s="41"/>
      <c r="DS399" s="41"/>
      <c r="DT399" s="41"/>
      <c r="DU399" s="41"/>
      <c r="DV399" s="41"/>
      <c r="DW399" s="41"/>
      <c r="DX399" s="41"/>
      <c r="DY399" s="41"/>
      <c r="DZ399" s="41"/>
      <c r="EA399" s="41"/>
      <c r="EB399" s="41"/>
      <c r="EC399" s="41"/>
      <c r="ED399" s="41"/>
      <c r="EE399" s="41"/>
      <c r="EF399" s="41"/>
      <c r="EG399" s="41"/>
      <c r="EH399" s="41"/>
      <c r="EI399" s="41"/>
      <c r="EJ399" s="41"/>
      <c r="EK399" s="41"/>
      <c r="EL399" s="41"/>
      <c r="EM399" s="41"/>
      <c r="EN399" s="41"/>
      <c r="EO399" s="41"/>
      <c r="EP399" s="41"/>
      <c r="EQ399" s="41"/>
      <c r="ER399" s="41"/>
      <c r="ES399" s="41"/>
      <c r="ET399" s="41"/>
      <c r="EU399" s="41"/>
      <c r="EV399" s="41"/>
      <c r="EW399" s="41"/>
      <c r="EX399" s="41"/>
      <c r="EY399" s="41"/>
      <c r="EZ399" s="41"/>
      <c r="FA399" s="41"/>
      <c r="FB399" s="41"/>
      <c r="FC399" s="41"/>
      <c r="FD399" s="41"/>
      <c r="FE399" s="41"/>
    </row>
    <row r="400" spans="1:161" x14ac:dyDescent="0.25">
      <c r="A400" s="41"/>
      <c r="AC400" s="41"/>
      <c r="AD400" s="41"/>
      <c r="AE400" s="41"/>
      <c r="AF400" s="41"/>
      <c r="AG400" s="41"/>
      <c r="AH400" s="41"/>
      <c r="AI400" s="41"/>
      <c r="AJ400" s="41"/>
      <c r="AK400" s="41"/>
      <c r="BI400" s="41"/>
      <c r="BT400" s="48"/>
      <c r="BU400" s="47"/>
      <c r="CG400" s="48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  <c r="DG400" s="41"/>
      <c r="DH400" s="41"/>
      <c r="DI400" s="41"/>
      <c r="DJ400" s="41"/>
      <c r="DK400" s="41"/>
      <c r="DL400" s="41"/>
      <c r="DM400" s="41"/>
      <c r="DN400" s="41"/>
      <c r="DO400" s="41"/>
      <c r="DP400" s="41"/>
      <c r="DQ400" s="41"/>
      <c r="DR400" s="41"/>
      <c r="DS400" s="41"/>
      <c r="DT400" s="41"/>
      <c r="DU400" s="41"/>
      <c r="DV400" s="41"/>
      <c r="DW400" s="41"/>
      <c r="DX400" s="41"/>
      <c r="DY400" s="41"/>
      <c r="DZ400" s="41"/>
      <c r="EA400" s="41"/>
      <c r="EB400" s="41"/>
      <c r="EC400" s="41"/>
      <c r="ED400" s="41"/>
      <c r="EE400" s="41"/>
      <c r="EF400" s="41"/>
      <c r="EG400" s="41"/>
      <c r="EH400" s="41"/>
      <c r="EI400" s="41"/>
      <c r="EJ400" s="41"/>
      <c r="EK400" s="41"/>
      <c r="EL400" s="41"/>
      <c r="EM400" s="41"/>
      <c r="EN400" s="41"/>
      <c r="EO400" s="41"/>
      <c r="EP400" s="41"/>
      <c r="EQ400" s="41"/>
      <c r="ER400" s="41"/>
      <c r="ES400" s="41"/>
      <c r="ET400" s="41"/>
      <c r="EU400" s="41"/>
      <c r="EV400" s="41"/>
      <c r="EW400" s="41"/>
      <c r="EX400" s="41"/>
      <c r="EY400" s="41"/>
      <c r="EZ400" s="41"/>
      <c r="FA400" s="41"/>
      <c r="FB400" s="41"/>
      <c r="FC400" s="41"/>
      <c r="FD400" s="41"/>
      <c r="FE400" s="41"/>
    </row>
    <row r="401" spans="1:161" x14ac:dyDescent="0.25">
      <c r="A401" s="41"/>
      <c r="AC401" s="41"/>
      <c r="AD401" s="41"/>
      <c r="AE401" s="41"/>
      <c r="AF401" s="41"/>
      <c r="AG401" s="41"/>
      <c r="AH401" s="41"/>
      <c r="AI401" s="41"/>
      <c r="AJ401" s="41"/>
      <c r="AK401" s="41"/>
      <c r="BI401" s="41"/>
      <c r="BT401" s="48"/>
      <c r="BU401" s="47"/>
      <c r="CG401" s="48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1"/>
      <c r="DJ401" s="41"/>
      <c r="DK401" s="41"/>
      <c r="DL401" s="41"/>
      <c r="DM401" s="41"/>
      <c r="DN401" s="41"/>
      <c r="DO401" s="41"/>
      <c r="DP401" s="41"/>
      <c r="DQ401" s="41"/>
      <c r="DR401" s="41"/>
      <c r="DS401" s="41"/>
      <c r="DT401" s="41"/>
      <c r="DU401" s="41"/>
      <c r="DV401" s="41"/>
      <c r="DW401" s="41"/>
      <c r="DX401" s="41"/>
      <c r="DY401" s="41"/>
      <c r="DZ401" s="41"/>
      <c r="EA401" s="41"/>
      <c r="EB401" s="41"/>
      <c r="EC401" s="41"/>
      <c r="ED401" s="41"/>
      <c r="EE401" s="41"/>
      <c r="EF401" s="41"/>
      <c r="EG401" s="41"/>
      <c r="EH401" s="41"/>
      <c r="EI401" s="41"/>
      <c r="EJ401" s="41"/>
      <c r="EK401" s="41"/>
      <c r="EL401" s="41"/>
      <c r="EM401" s="41"/>
      <c r="EN401" s="41"/>
      <c r="EO401" s="41"/>
      <c r="EP401" s="41"/>
      <c r="EQ401" s="41"/>
      <c r="ER401" s="41"/>
      <c r="ES401" s="41"/>
      <c r="ET401" s="41"/>
      <c r="EU401" s="41"/>
      <c r="EV401" s="41"/>
      <c r="EW401" s="41"/>
      <c r="EX401" s="41"/>
      <c r="EY401" s="41"/>
      <c r="EZ401" s="41"/>
      <c r="FA401" s="41"/>
      <c r="FB401" s="41"/>
      <c r="FC401" s="41"/>
      <c r="FD401" s="41"/>
      <c r="FE401" s="41"/>
    </row>
    <row r="402" spans="1:161" x14ac:dyDescent="0.25">
      <c r="A402" s="41"/>
      <c r="AC402" s="41"/>
      <c r="AD402" s="41"/>
      <c r="AE402" s="41"/>
      <c r="AF402" s="41"/>
      <c r="AG402" s="41"/>
      <c r="AH402" s="41"/>
      <c r="AI402" s="41"/>
      <c r="AJ402" s="41"/>
      <c r="AK402" s="41"/>
      <c r="BI402" s="41"/>
      <c r="BT402" s="48"/>
      <c r="BU402" s="47"/>
      <c r="CG402" s="48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1"/>
      <c r="DJ402" s="41"/>
      <c r="DK402" s="41"/>
      <c r="DL402" s="41"/>
      <c r="DM402" s="41"/>
      <c r="DN402" s="41"/>
      <c r="DO402" s="41"/>
      <c r="DP402" s="41"/>
      <c r="DQ402" s="41"/>
      <c r="DR402" s="41"/>
      <c r="DS402" s="41"/>
      <c r="DT402" s="41"/>
      <c r="DU402" s="41"/>
      <c r="DV402" s="41"/>
      <c r="DW402" s="41"/>
      <c r="DX402" s="41"/>
      <c r="DY402" s="41"/>
      <c r="DZ402" s="41"/>
      <c r="EA402" s="41"/>
      <c r="EB402" s="41"/>
      <c r="EC402" s="41"/>
      <c r="ED402" s="41"/>
      <c r="EE402" s="41"/>
      <c r="EF402" s="41"/>
      <c r="EG402" s="41"/>
      <c r="EH402" s="41"/>
      <c r="EI402" s="41"/>
      <c r="EJ402" s="41"/>
      <c r="EK402" s="41"/>
      <c r="EL402" s="41"/>
      <c r="EM402" s="41"/>
      <c r="EN402" s="41"/>
      <c r="EO402" s="41"/>
      <c r="EP402" s="41"/>
      <c r="EQ402" s="41"/>
      <c r="ER402" s="41"/>
      <c r="ES402" s="41"/>
      <c r="ET402" s="41"/>
      <c r="EU402" s="41"/>
      <c r="EV402" s="41"/>
      <c r="EW402" s="41"/>
      <c r="EX402" s="41"/>
      <c r="EY402" s="41"/>
      <c r="EZ402" s="41"/>
      <c r="FA402" s="41"/>
      <c r="FB402" s="41"/>
      <c r="FC402" s="41"/>
      <c r="FD402" s="41"/>
      <c r="FE402" s="41"/>
    </row>
    <row r="403" spans="1:161" x14ac:dyDescent="0.25">
      <c r="A403" s="41"/>
      <c r="AC403" s="41"/>
      <c r="AD403" s="41"/>
      <c r="AE403" s="41"/>
      <c r="AF403" s="41"/>
      <c r="AG403" s="41"/>
      <c r="AH403" s="41"/>
      <c r="AI403" s="41"/>
      <c r="AJ403" s="41"/>
      <c r="AK403" s="41"/>
      <c r="BI403" s="41"/>
      <c r="BT403" s="48"/>
      <c r="BU403" s="47"/>
      <c r="CG403" s="48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41"/>
      <c r="DI403" s="41"/>
      <c r="DJ403" s="41"/>
      <c r="DK403" s="41"/>
      <c r="DL403" s="41"/>
      <c r="DM403" s="41"/>
      <c r="DN403" s="41"/>
      <c r="DO403" s="41"/>
      <c r="DP403" s="41"/>
      <c r="DQ403" s="41"/>
      <c r="DR403" s="41"/>
      <c r="DS403" s="41"/>
      <c r="DT403" s="41"/>
      <c r="DU403" s="41"/>
      <c r="DV403" s="41"/>
      <c r="DW403" s="41"/>
      <c r="DX403" s="41"/>
      <c r="DY403" s="41"/>
      <c r="DZ403" s="41"/>
      <c r="EA403" s="41"/>
      <c r="EB403" s="41"/>
      <c r="EC403" s="41"/>
      <c r="ED403" s="41"/>
      <c r="EE403" s="41"/>
      <c r="EF403" s="41"/>
      <c r="EG403" s="41"/>
      <c r="EH403" s="41"/>
      <c r="EI403" s="41"/>
      <c r="EJ403" s="41"/>
      <c r="EK403" s="41"/>
      <c r="EL403" s="41"/>
      <c r="EM403" s="41"/>
      <c r="EN403" s="41"/>
      <c r="EO403" s="41"/>
      <c r="EP403" s="41"/>
      <c r="EQ403" s="41"/>
      <c r="ER403" s="41"/>
      <c r="ES403" s="41"/>
      <c r="ET403" s="41"/>
      <c r="EU403" s="41"/>
      <c r="EV403" s="41"/>
      <c r="EW403" s="41"/>
      <c r="EX403" s="41"/>
      <c r="EY403" s="41"/>
      <c r="EZ403" s="41"/>
      <c r="FA403" s="41"/>
      <c r="FB403" s="41"/>
      <c r="FC403" s="41"/>
      <c r="FD403" s="41"/>
      <c r="FE403" s="41"/>
    </row>
    <row r="404" spans="1:161" x14ac:dyDescent="0.25">
      <c r="A404" s="41"/>
      <c r="AC404" s="41"/>
      <c r="AD404" s="41"/>
      <c r="AE404" s="41"/>
      <c r="AF404" s="41"/>
      <c r="AG404" s="41"/>
      <c r="AH404" s="41"/>
      <c r="AI404" s="41"/>
      <c r="AJ404" s="41"/>
      <c r="AK404" s="41"/>
      <c r="BI404" s="41"/>
      <c r="BT404" s="48"/>
      <c r="BU404" s="47"/>
      <c r="CG404" s="48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41"/>
      <c r="DI404" s="41"/>
      <c r="DJ404" s="41"/>
      <c r="DK404" s="41"/>
      <c r="DL404" s="41"/>
      <c r="DM404" s="41"/>
      <c r="DN404" s="41"/>
      <c r="DO404" s="41"/>
      <c r="DP404" s="41"/>
      <c r="DQ404" s="41"/>
      <c r="DR404" s="41"/>
      <c r="DS404" s="41"/>
      <c r="DT404" s="41"/>
      <c r="DU404" s="41"/>
      <c r="DV404" s="41"/>
      <c r="DW404" s="41"/>
      <c r="DX404" s="41"/>
      <c r="DY404" s="41"/>
      <c r="DZ404" s="41"/>
      <c r="EA404" s="41"/>
      <c r="EB404" s="41"/>
      <c r="EC404" s="41"/>
      <c r="ED404" s="41"/>
      <c r="EE404" s="41"/>
      <c r="EF404" s="41"/>
      <c r="EG404" s="41"/>
      <c r="EH404" s="41"/>
      <c r="EI404" s="41"/>
      <c r="EJ404" s="41"/>
      <c r="EK404" s="41"/>
      <c r="EL404" s="41"/>
      <c r="EM404" s="41"/>
      <c r="EN404" s="41"/>
      <c r="EO404" s="41"/>
      <c r="EP404" s="41"/>
      <c r="EQ404" s="41"/>
      <c r="ER404" s="41"/>
      <c r="ES404" s="41"/>
      <c r="ET404" s="41"/>
      <c r="EU404" s="41"/>
      <c r="EV404" s="41"/>
      <c r="EW404" s="41"/>
      <c r="EX404" s="41"/>
      <c r="EY404" s="41"/>
      <c r="EZ404" s="41"/>
      <c r="FA404" s="41"/>
      <c r="FB404" s="41"/>
      <c r="FC404" s="41"/>
      <c r="FD404" s="41"/>
      <c r="FE404" s="41"/>
    </row>
    <row r="405" spans="1:161" x14ac:dyDescent="0.25">
      <c r="A405" s="41"/>
      <c r="AC405" s="41"/>
      <c r="AD405" s="41"/>
      <c r="AE405" s="41"/>
      <c r="AF405" s="41"/>
      <c r="AG405" s="41"/>
      <c r="AH405" s="41"/>
      <c r="AI405" s="41"/>
      <c r="AJ405" s="41"/>
      <c r="AK405" s="41"/>
      <c r="BI405" s="41"/>
      <c r="BT405" s="48"/>
      <c r="BU405" s="47"/>
      <c r="CG405" s="48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  <c r="DG405" s="41"/>
      <c r="DH405" s="41"/>
      <c r="DI405" s="41"/>
      <c r="DJ405" s="41"/>
      <c r="DK405" s="41"/>
      <c r="DL405" s="41"/>
      <c r="DM405" s="41"/>
      <c r="DN405" s="41"/>
      <c r="DO405" s="41"/>
      <c r="DP405" s="41"/>
      <c r="DQ405" s="41"/>
      <c r="DR405" s="41"/>
      <c r="DS405" s="41"/>
      <c r="DT405" s="41"/>
      <c r="DU405" s="41"/>
      <c r="DV405" s="41"/>
      <c r="DW405" s="41"/>
      <c r="DX405" s="41"/>
      <c r="DY405" s="41"/>
      <c r="DZ405" s="41"/>
      <c r="EA405" s="41"/>
      <c r="EB405" s="41"/>
      <c r="EC405" s="41"/>
      <c r="ED405" s="41"/>
      <c r="EE405" s="41"/>
      <c r="EF405" s="41"/>
      <c r="EG405" s="41"/>
      <c r="EH405" s="41"/>
      <c r="EI405" s="41"/>
      <c r="EJ405" s="41"/>
      <c r="EK405" s="41"/>
      <c r="EL405" s="41"/>
      <c r="EM405" s="41"/>
      <c r="EN405" s="41"/>
      <c r="EO405" s="41"/>
      <c r="EP405" s="41"/>
      <c r="EQ405" s="41"/>
      <c r="ER405" s="41"/>
      <c r="ES405" s="41"/>
      <c r="ET405" s="41"/>
      <c r="EU405" s="41"/>
      <c r="EV405" s="41"/>
      <c r="EW405" s="41"/>
      <c r="EX405" s="41"/>
      <c r="EY405" s="41"/>
      <c r="EZ405" s="41"/>
      <c r="FA405" s="41"/>
      <c r="FB405" s="41"/>
      <c r="FC405" s="41"/>
      <c r="FD405" s="41"/>
      <c r="FE405" s="41"/>
    </row>
    <row r="406" spans="1:161" x14ac:dyDescent="0.25">
      <c r="A406" s="41"/>
      <c r="AC406" s="41"/>
      <c r="AD406" s="41"/>
      <c r="AE406" s="41"/>
      <c r="AF406" s="41"/>
      <c r="AG406" s="41"/>
      <c r="AH406" s="41"/>
      <c r="AI406" s="41"/>
      <c r="AJ406" s="41"/>
      <c r="AK406" s="41"/>
      <c r="BI406" s="41"/>
      <c r="BT406" s="48"/>
      <c r="BU406" s="47"/>
      <c r="CG406" s="48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  <c r="DG406" s="41"/>
      <c r="DH406" s="41"/>
      <c r="DI406" s="41"/>
      <c r="DJ406" s="41"/>
      <c r="DK406" s="41"/>
      <c r="DL406" s="41"/>
      <c r="DM406" s="41"/>
      <c r="DN406" s="41"/>
      <c r="DO406" s="41"/>
      <c r="DP406" s="41"/>
      <c r="DQ406" s="41"/>
      <c r="DR406" s="41"/>
      <c r="DS406" s="41"/>
      <c r="DT406" s="41"/>
      <c r="DU406" s="41"/>
      <c r="DV406" s="41"/>
      <c r="DW406" s="41"/>
      <c r="DX406" s="41"/>
      <c r="DY406" s="41"/>
      <c r="DZ406" s="41"/>
      <c r="EA406" s="41"/>
      <c r="EB406" s="41"/>
      <c r="EC406" s="41"/>
      <c r="ED406" s="41"/>
      <c r="EE406" s="41"/>
      <c r="EF406" s="41"/>
      <c r="EG406" s="41"/>
      <c r="EH406" s="41"/>
      <c r="EI406" s="41"/>
      <c r="EJ406" s="41"/>
      <c r="EK406" s="41"/>
      <c r="EL406" s="41"/>
      <c r="EM406" s="41"/>
      <c r="EN406" s="41"/>
      <c r="EO406" s="41"/>
      <c r="EP406" s="41"/>
      <c r="EQ406" s="41"/>
      <c r="ER406" s="41"/>
      <c r="ES406" s="41"/>
      <c r="ET406" s="41"/>
      <c r="EU406" s="41"/>
      <c r="EV406" s="41"/>
      <c r="EW406" s="41"/>
      <c r="EX406" s="41"/>
      <c r="EY406" s="41"/>
      <c r="EZ406" s="41"/>
      <c r="FA406" s="41"/>
      <c r="FB406" s="41"/>
      <c r="FC406" s="41"/>
      <c r="FD406" s="41"/>
      <c r="FE406" s="41"/>
    </row>
    <row r="407" spans="1:161" x14ac:dyDescent="0.25">
      <c r="A407" s="41"/>
      <c r="AC407" s="41"/>
      <c r="AD407" s="41"/>
      <c r="AE407" s="41"/>
      <c r="AF407" s="41"/>
      <c r="AG407" s="41"/>
      <c r="AH407" s="41"/>
      <c r="AI407" s="41"/>
      <c r="AJ407" s="41"/>
      <c r="AK407" s="41"/>
      <c r="BI407" s="41"/>
      <c r="BT407" s="48"/>
      <c r="BU407" s="47"/>
      <c r="CG407" s="48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  <c r="DG407" s="41"/>
      <c r="DH407" s="41"/>
      <c r="DI407" s="41"/>
      <c r="DJ407" s="41"/>
      <c r="DK407" s="41"/>
      <c r="DL407" s="41"/>
      <c r="DM407" s="41"/>
      <c r="DN407" s="41"/>
      <c r="DO407" s="41"/>
      <c r="DP407" s="41"/>
      <c r="DQ407" s="41"/>
      <c r="DR407" s="41"/>
      <c r="DS407" s="41"/>
      <c r="DT407" s="41"/>
      <c r="DU407" s="41"/>
      <c r="DV407" s="41"/>
      <c r="DW407" s="41"/>
      <c r="DX407" s="41"/>
      <c r="DY407" s="41"/>
      <c r="DZ407" s="41"/>
      <c r="EA407" s="41"/>
      <c r="EB407" s="41"/>
      <c r="EC407" s="41"/>
      <c r="ED407" s="41"/>
      <c r="EE407" s="41"/>
      <c r="EF407" s="41"/>
      <c r="EG407" s="41"/>
      <c r="EH407" s="41"/>
      <c r="EI407" s="41"/>
      <c r="EJ407" s="41"/>
      <c r="EK407" s="41"/>
      <c r="EL407" s="41"/>
      <c r="EM407" s="41"/>
      <c r="EN407" s="41"/>
      <c r="EO407" s="41"/>
      <c r="EP407" s="41"/>
      <c r="EQ407" s="41"/>
      <c r="ER407" s="41"/>
      <c r="ES407" s="41"/>
      <c r="ET407" s="41"/>
      <c r="EU407" s="41"/>
      <c r="EV407" s="41"/>
      <c r="EW407" s="41"/>
      <c r="EX407" s="41"/>
      <c r="EY407" s="41"/>
      <c r="EZ407" s="41"/>
      <c r="FA407" s="41"/>
      <c r="FB407" s="41"/>
      <c r="FC407" s="41"/>
      <c r="FD407" s="41"/>
      <c r="FE407" s="41"/>
    </row>
    <row r="408" spans="1:161" x14ac:dyDescent="0.25">
      <c r="A408" s="41"/>
      <c r="AC408" s="41"/>
      <c r="AD408" s="41"/>
      <c r="AE408" s="41"/>
      <c r="AF408" s="41"/>
      <c r="AG408" s="41"/>
      <c r="AH408" s="41"/>
      <c r="AI408" s="41"/>
      <c r="AJ408" s="41"/>
      <c r="AK408" s="41"/>
      <c r="BI408" s="41"/>
      <c r="BT408" s="48"/>
      <c r="BU408" s="47"/>
      <c r="CG408" s="48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  <c r="DG408" s="41"/>
      <c r="DH408" s="41"/>
      <c r="DI408" s="41"/>
      <c r="DJ408" s="41"/>
      <c r="DK408" s="41"/>
      <c r="DL408" s="41"/>
      <c r="DM408" s="41"/>
      <c r="DN408" s="41"/>
      <c r="DO408" s="41"/>
      <c r="DP408" s="41"/>
      <c r="DQ408" s="41"/>
      <c r="DR408" s="41"/>
      <c r="DS408" s="41"/>
      <c r="DT408" s="41"/>
      <c r="DU408" s="41"/>
      <c r="DV408" s="41"/>
      <c r="DW408" s="41"/>
      <c r="DX408" s="41"/>
      <c r="DY408" s="41"/>
      <c r="DZ408" s="41"/>
      <c r="EA408" s="41"/>
      <c r="EB408" s="41"/>
      <c r="EC408" s="41"/>
      <c r="ED408" s="41"/>
      <c r="EE408" s="41"/>
      <c r="EF408" s="41"/>
      <c r="EG408" s="41"/>
      <c r="EH408" s="41"/>
      <c r="EI408" s="41"/>
      <c r="EJ408" s="41"/>
      <c r="EK408" s="41"/>
      <c r="EL408" s="41"/>
      <c r="EM408" s="41"/>
      <c r="EN408" s="41"/>
      <c r="EO408" s="41"/>
      <c r="EP408" s="41"/>
      <c r="EQ408" s="41"/>
      <c r="ER408" s="41"/>
      <c r="ES408" s="41"/>
      <c r="ET408" s="41"/>
      <c r="EU408" s="41"/>
      <c r="EV408" s="41"/>
      <c r="EW408" s="41"/>
      <c r="EX408" s="41"/>
      <c r="EY408" s="41"/>
      <c r="EZ408" s="41"/>
      <c r="FA408" s="41"/>
      <c r="FB408" s="41"/>
      <c r="FC408" s="41"/>
      <c r="FD408" s="41"/>
      <c r="FE408" s="41"/>
    </row>
    <row r="409" spans="1:161" x14ac:dyDescent="0.25">
      <c r="A409" s="41"/>
      <c r="AC409" s="41"/>
      <c r="AD409" s="41"/>
      <c r="AE409" s="41"/>
      <c r="AF409" s="41"/>
      <c r="AG409" s="41"/>
      <c r="AH409" s="41"/>
      <c r="AI409" s="41"/>
      <c r="AJ409" s="41"/>
      <c r="AK409" s="41"/>
      <c r="BI409" s="41"/>
      <c r="BT409" s="48"/>
      <c r="BU409" s="47"/>
      <c r="CG409" s="48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  <c r="DG409" s="41"/>
      <c r="DH409" s="41"/>
      <c r="DI409" s="41"/>
      <c r="DJ409" s="41"/>
      <c r="DK409" s="41"/>
      <c r="DL409" s="41"/>
      <c r="DM409" s="41"/>
      <c r="DN409" s="41"/>
      <c r="DO409" s="41"/>
      <c r="DP409" s="41"/>
      <c r="DQ409" s="41"/>
      <c r="DR409" s="41"/>
      <c r="DS409" s="41"/>
      <c r="DT409" s="41"/>
      <c r="DU409" s="41"/>
      <c r="DV409" s="41"/>
      <c r="DW409" s="41"/>
      <c r="DX409" s="41"/>
      <c r="DY409" s="41"/>
      <c r="DZ409" s="41"/>
      <c r="EA409" s="41"/>
      <c r="EB409" s="41"/>
      <c r="EC409" s="41"/>
      <c r="ED409" s="41"/>
      <c r="EE409" s="41"/>
      <c r="EF409" s="41"/>
      <c r="EG409" s="41"/>
      <c r="EH409" s="41"/>
      <c r="EI409" s="41"/>
      <c r="EJ409" s="41"/>
      <c r="EK409" s="41"/>
      <c r="EL409" s="41"/>
      <c r="EM409" s="41"/>
      <c r="EN409" s="41"/>
      <c r="EO409" s="41"/>
      <c r="EP409" s="41"/>
      <c r="EQ409" s="41"/>
      <c r="ER409" s="41"/>
      <c r="ES409" s="41"/>
      <c r="ET409" s="41"/>
      <c r="EU409" s="41"/>
      <c r="EV409" s="41"/>
      <c r="EW409" s="41"/>
      <c r="EX409" s="41"/>
      <c r="EY409" s="41"/>
      <c r="EZ409" s="41"/>
      <c r="FA409" s="41"/>
      <c r="FB409" s="41"/>
      <c r="FC409" s="41"/>
      <c r="FD409" s="41"/>
      <c r="FE409" s="41"/>
    </row>
    <row r="410" spans="1:161" x14ac:dyDescent="0.25">
      <c r="A410" s="41"/>
      <c r="AC410" s="41"/>
      <c r="AD410" s="41"/>
      <c r="AE410" s="41"/>
      <c r="AF410" s="41"/>
      <c r="AG410" s="41"/>
      <c r="AH410" s="41"/>
      <c r="AI410" s="41"/>
      <c r="AJ410" s="41"/>
      <c r="AK410" s="41"/>
      <c r="BI410" s="41"/>
      <c r="BT410" s="48"/>
      <c r="BU410" s="47"/>
      <c r="CG410" s="48"/>
      <c r="CH410" s="41"/>
      <c r="CI410" s="41"/>
      <c r="CJ410" s="41"/>
      <c r="CK410" s="41"/>
      <c r="CL410" s="41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  <c r="DG410" s="41"/>
      <c r="DH410" s="41"/>
      <c r="DI410" s="41"/>
      <c r="DJ410" s="41"/>
      <c r="DK410" s="41"/>
      <c r="DL410" s="41"/>
      <c r="DM410" s="41"/>
      <c r="DN410" s="41"/>
      <c r="DO410" s="41"/>
      <c r="DP410" s="41"/>
      <c r="DQ410" s="41"/>
      <c r="DR410" s="41"/>
      <c r="DS410" s="41"/>
      <c r="DT410" s="41"/>
      <c r="DU410" s="41"/>
      <c r="DV410" s="41"/>
      <c r="DW410" s="41"/>
      <c r="DX410" s="41"/>
      <c r="DY410" s="41"/>
      <c r="DZ410" s="41"/>
      <c r="EA410" s="41"/>
      <c r="EB410" s="41"/>
      <c r="EC410" s="41"/>
      <c r="ED410" s="41"/>
      <c r="EE410" s="41"/>
      <c r="EF410" s="41"/>
      <c r="EG410" s="41"/>
      <c r="EH410" s="41"/>
      <c r="EI410" s="41"/>
      <c r="EJ410" s="41"/>
      <c r="EK410" s="41"/>
      <c r="EL410" s="41"/>
      <c r="EM410" s="41"/>
      <c r="EN410" s="41"/>
      <c r="EO410" s="41"/>
      <c r="EP410" s="41"/>
      <c r="EQ410" s="41"/>
      <c r="ER410" s="41"/>
      <c r="ES410" s="41"/>
      <c r="ET410" s="41"/>
      <c r="EU410" s="41"/>
      <c r="EV410" s="41"/>
      <c r="EW410" s="41"/>
      <c r="EX410" s="41"/>
      <c r="EY410" s="41"/>
      <c r="EZ410" s="41"/>
      <c r="FA410" s="41"/>
      <c r="FB410" s="41"/>
      <c r="FC410" s="41"/>
      <c r="FD410" s="41"/>
      <c r="FE410" s="41"/>
    </row>
    <row r="411" spans="1:161" x14ac:dyDescent="0.25">
      <c r="A411" s="41"/>
      <c r="AC411" s="41"/>
      <c r="AD411" s="41"/>
      <c r="AE411" s="41"/>
      <c r="AF411" s="41"/>
      <c r="AG411" s="41"/>
      <c r="AH411" s="41"/>
      <c r="AI411" s="41"/>
      <c r="AJ411" s="41"/>
      <c r="AK411" s="41"/>
      <c r="BI411" s="41"/>
      <c r="BT411" s="48"/>
      <c r="BU411" s="47"/>
      <c r="CG411" s="48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  <c r="DG411" s="41"/>
      <c r="DH411" s="41"/>
      <c r="DI411" s="41"/>
      <c r="DJ411" s="41"/>
      <c r="DK411" s="41"/>
      <c r="DL411" s="41"/>
      <c r="DM411" s="41"/>
      <c r="DN411" s="41"/>
      <c r="DO411" s="41"/>
      <c r="DP411" s="41"/>
      <c r="DQ411" s="41"/>
      <c r="DR411" s="41"/>
      <c r="DS411" s="41"/>
      <c r="DT411" s="41"/>
      <c r="DU411" s="41"/>
      <c r="DV411" s="41"/>
      <c r="DW411" s="41"/>
      <c r="DX411" s="41"/>
      <c r="DY411" s="41"/>
      <c r="DZ411" s="41"/>
      <c r="EA411" s="41"/>
      <c r="EB411" s="41"/>
      <c r="EC411" s="41"/>
      <c r="ED411" s="41"/>
      <c r="EE411" s="41"/>
      <c r="EF411" s="41"/>
      <c r="EG411" s="41"/>
      <c r="EH411" s="41"/>
      <c r="EI411" s="41"/>
      <c r="EJ411" s="41"/>
      <c r="EK411" s="41"/>
      <c r="EL411" s="41"/>
      <c r="EM411" s="41"/>
      <c r="EN411" s="41"/>
      <c r="EO411" s="41"/>
      <c r="EP411" s="41"/>
      <c r="EQ411" s="41"/>
      <c r="ER411" s="41"/>
      <c r="ES411" s="41"/>
      <c r="ET411" s="41"/>
      <c r="EU411" s="41"/>
      <c r="EV411" s="41"/>
      <c r="EW411" s="41"/>
      <c r="EX411" s="41"/>
      <c r="EY411" s="41"/>
      <c r="EZ411" s="41"/>
      <c r="FA411" s="41"/>
      <c r="FB411" s="41"/>
      <c r="FC411" s="41"/>
      <c r="FD411" s="41"/>
      <c r="FE411" s="41"/>
    </row>
    <row r="412" spans="1:161" x14ac:dyDescent="0.25">
      <c r="A412" s="41"/>
      <c r="AC412" s="41"/>
      <c r="AD412" s="41"/>
      <c r="AE412" s="41"/>
      <c r="AF412" s="41"/>
      <c r="AG412" s="41"/>
      <c r="AH412" s="41"/>
      <c r="AI412" s="41"/>
      <c r="AJ412" s="41"/>
      <c r="AK412" s="41"/>
      <c r="BI412" s="41"/>
      <c r="BT412" s="48"/>
      <c r="BU412" s="47"/>
      <c r="CG412" s="48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  <c r="DG412" s="41"/>
      <c r="DH412" s="41"/>
      <c r="DI412" s="41"/>
      <c r="DJ412" s="41"/>
      <c r="DK412" s="41"/>
      <c r="DL412" s="41"/>
      <c r="DM412" s="41"/>
      <c r="DN412" s="41"/>
      <c r="DO412" s="41"/>
      <c r="DP412" s="41"/>
      <c r="DQ412" s="41"/>
      <c r="DR412" s="41"/>
      <c r="DS412" s="41"/>
      <c r="DT412" s="41"/>
      <c r="DU412" s="41"/>
      <c r="DV412" s="41"/>
      <c r="DW412" s="41"/>
      <c r="DX412" s="41"/>
      <c r="DY412" s="41"/>
      <c r="DZ412" s="41"/>
      <c r="EA412" s="41"/>
      <c r="EB412" s="41"/>
      <c r="EC412" s="41"/>
      <c r="ED412" s="41"/>
      <c r="EE412" s="41"/>
      <c r="EF412" s="41"/>
      <c r="EG412" s="41"/>
      <c r="EH412" s="41"/>
      <c r="EI412" s="41"/>
      <c r="EJ412" s="41"/>
      <c r="EK412" s="41"/>
      <c r="EL412" s="41"/>
      <c r="EM412" s="41"/>
      <c r="EN412" s="41"/>
      <c r="EO412" s="41"/>
      <c r="EP412" s="41"/>
      <c r="EQ412" s="41"/>
      <c r="ER412" s="41"/>
      <c r="ES412" s="41"/>
      <c r="ET412" s="41"/>
      <c r="EU412" s="41"/>
      <c r="EV412" s="41"/>
      <c r="EW412" s="41"/>
      <c r="EX412" s="41"/>
      <c r="EY412" s="41"/>
      <c r="EZ412" s="41"/>
      <c r="FA412" s="41"/>
      <c r="FB412" s="41"/>
      <c r="FC412" s="41"/>
      <c r="FD412" s="41"/>
      <c r="FE412" s="41"/>
    </row>
    <row r="413" spans="1:161" x14ac:dyDescent="0.25">
      <c r="A413" s="41"/>
      <c r="AC413" s="41"/>
      <c r="AD413" s="41"/>
      <c r="AE413" s="41"/>
      <c r="AF413" s="41"/>
      <c r="AG413" s="41"/>
      <c r="AH413" s="41"/>
      <c r="AI413" s="41"/>
      <c r="AJ413" s="41"/>
      <c r="AK413" s="41"/>
      <c r="BI413" s="41"/>
      <c r="BT413" s="48"/>
      <c r="BU413" s="47"/>
      <c r="CG413" s="48"/>
      <c r="CH413" s="41"/>
      <c r="CI413" s="41"/>
      <c r="CJ413" s="41"/>
      <c r="CK413" s="41"/>
      <c r="CL413" s="41"/>
      <c r="CM413" s="41"/>
      <c r="CN413" s="41"/>
      <c r="CO413" s="41"/>
      <c r="CP413" s="41"/>
      <c r="CQ413" s="41"/>
      <c r="CR413" s="41"/>
      <c r="CS413" s="41"/>
      <c r="CT413" s="41"/>
      <c r="CU413" s="41"/>
      <c r="CV413" s="41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  <c r="DG413" s="41"/>
      <c r="DH413" s="41"/>
      <c r="DI413" s="41"/>
      <c r="DJ413" s="41"/>
      <c r="DK413" s="41"/>
      <c r="DL413" s="41"/>
      <c r="DM413" s="41"/>
      <c r="DN413" s="41"/>
      <c r="DO413" s="41"/>
      <c r="DP413" s="41"/>
      <c r="DQ413" s="41"/>
      <c r="DR413" s="41"/>
      <c r="DS413" s="41"/>
      <c r="DT413" s="41"/>
      <c r="DU413" s="41"/>
      <c r="DV413" s="41"/>
      <c r="DW413" s="41"/>
      <c r="DX413" s="41"/>
      <c r="DY413" s="41"/>
      <c r="DZ413" s="41"/>
      <c r="EA413" s="41"/>
      <c r="EB413" s="41"/>
      <c r="EC413" s="41"/>
      <c r="ED413" s="41"/>
      <c r="EE413" s="41"/>
      <c r="EF413" s="41"/>
      <c r="EG413" s="41"/>
      <c r="EH413" s="41"/>
      <c r="EI413" s="41"/>
      <c r="EJ413" s="41"/>
      <c r="EK413" s="41"/>
      <c r="EL413" s="41"/>
      <c r="EM413" s="41"/>
      <c r="EN413" s="41"/>
      <c r="EO413" s="41"/>
      <c r="EP413" s="41"/>
      <c r="EQ413" s="41"/>
      <c r="ER413" s="41"/>
      <c r="ES413" s="41"/>
      <c r="ET413" s="41"/>
      <c r="EU413" s="41"/>
      <c r="EV413" s="41"/>
      <c r="EW413" s="41"/>
      <c r="EX413" s="41"/>
      <c r="EY413" s="41"/>
      <c r="EZ413" s="41"/>
      <c r="FA413" s="41"/>
      <c r="FB413" s="41"/>
      <c r="FC413" s="41"/>
      <c r="FD413" s="41"/>
      <c r="FE413" s="41"/>
    </row>
    <row r="414" spans="1:161" x14ac:dyDescent="0.25">
      <c r="A414" s="41"/>
      <c r="AC414" s="41"/>
      <c r="AD414" s="41"/>
      <c r="AE414" s="41"/>
      <c r="AF414" s="41"/>
      <c r="AG414" s="41"/>
      <c r="AH414" s="41"/>
      <c r="AI414" s="41"/>
      <c r="AJ414" s="41"/>
      <c r="AK414" s="41"/>
      <c r="BI414" s="41"/>
      <c r="BT414" s="48"/>
      <c r="BU414" s="47"/>
      <c r="CG414" s="48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  <c r="DG414" s="41"/>
      <c r="DH414" s="41"/>
      <c r="DI414" s="41"/>
      <c r="DJ414" s="41"/>
      <c r="DK414" s="41"/>
      <c r="DL414" s="41"/>
      <c r="DM414" s="41"/>
      <c r="DN414" s="41"/>
      <c r="DO414" s="41"/>
      <c r="DP414" s="41"/>
      <c r="DQ414" s="41"/>
      <c r="DR414" s="41"/>
      <c r="DS414" s="41"/>
      <c r="DT414" s="41"/>
      <c r="DU414" s="41"/>
      <c r="DV414" s="41"/>
      <c r="DW414" s="41"/>
      <c r="DX414" s="41"/>
      <c r="DY414" s="41"/>
      <c r="DZ414" s="41"/>
      <c r="EA414" s="41"/>
      <c r="EB414" s="41"/>
      <c r="EC414" s="41"/>
      <c r="ED414" s="41"/>
      <c r="EE414" s="41"/>
      <c r="EF414" s="41"/>
      <c r="EG414" s="41"/>
      <c r="EH414" s="41"/>
      <c r="EI414" s="41"/>
      <c r="EJ414" s="41"/>
      <c r="EK414" s="41"/>
      <c r="EL414" s="41"/>
      <c r="EM414" s="41"/>
      <c r="EN414" s="41"/>
      <c r="EO414" s="41"/>
      <c r="EP414" s="41"/>
      <c r="EQ414" s="41"/>
      <c r="ER414" s="41"/>
      <c r="ES414" s="41"/>
      <c r="ET414" s="41"/>
      <c r="EU414" s="41"/>
      <c r="EV414" s="41"/>
      <c r="EW414" s="41"/>
      <c r="EX414" s="41"/>
      <c r="EY414" s="41"/>
      <c r="EZ414" s="41"/>
      <c r="FA414" s="41"/>
      <c r="FB414" s="41"/>
      <c r="FC414" s="41"/>
      <c r="FD414" s="41"/>
      <c r="FE414" s="41"/>
    </row>
    <row r="415" spans="1:161" x14ac:dyDescent="0.25">
      <c r="A415" s="41"/>
      <c r="AC415" s="41"/>
      <c r="AD415" s="41"/>
      <c r="AE415" s="41"/>
      <c r="AF415" s="41"/>
      <c r="AG415" s="41"/>
      <c r="AH415" s="41"/>
      <c r="AI415" s="41"/>
      <c r="AJ415" s="41"/>
      <c r="AK415" s="41"/>
      <c r="BI415" s="41"/>
      <c r="BT415" s="48"/>
      <c r="BU415" s="47"/>
      <c r="CG415" s="48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  <c r="DG415" s="41"/>
      <c r="DH415" s="41"/>
      <c r="DI415" s="41"/>
      <c r="DJ415" s="41"/>
      <c r="DK415" s="41"/>
      <c r="DL415" s="41"/>
      <c r="DM415" s="41"/>
      <c r="DN415" s="41"/>
      <c r="DO415" s="41"/>
      <c r="DP415" s="41"/>
      <c r="DQ415" s="41"/>
      <c r="DR415" s="41"/>
      <c r="DS415" s="41"/>
      <c r="DT415" s="41"/>
      <c r="DU415" s="41"/>
      <c r="DV415" s="41"/>
      <c r="DW415" s="41"/>
      <c r="DX415" s="41"/>
      <c r="DY415" s="41"/>
      <c r="DZ415" s="41"/>
      <c r="EA415" s="41"/>
      <c r="EB415" s="41"/>
      <c r="EC415" s="41"/>
      <c r="ED415" s="41"/>
      <c r="EE415" s="41"/>
      <c r="EF415" s="41"/>
      <c r="EG415" s="41"/>
      <c r="EH415" s="41"/>
      <c r="EI415" s="41"/>
      <c r="EJ415" s="41"/>
      <c r="EK415" s="41"/>
      <c r="EL415" s="41"/>
      <c r="EM415" s="41"/>
      <c r="EN415" s="41"/>
      <c r="EO415" s="41"/>
      <c r="EP415" s="41"/>
      <c r="EQ415" s="41"/>
      <c r="ER415" s="41"/>
      <c r="ES415" s="41"/>
      <c r="ET415" s="41"/>
      <c r="EU415" s="41"/>
      <c r="EV415" s="41"/>
      <c r="EW415" s="41"/>
      <c r="EX415" s="41"/>
      <c r="EY415" s="41"/>
      <c r="EZ415" s="41"/>
      <c r="FA415" s="41"/>
      <c r="FB415" s="41"/>
      <c r="FC415" s="41"/>
      <c r="FD415" s="41"/>
      <c r="FE415" s="41"/>
    </row>
    <row r="416" spans="1:161" x14ac:dyDescent="0.25">
      <c r="A416" s="41"/>
      <c r="AC416" s="41"/>
      <c r="AD416" s="41"/>
      <c r="AE416" s="41"/>
      <c r="AF416" s="41"/>
      <c r="AG416" s="41"/>
      <c r="AH416" s="41"/>
      <c r="AI416" s="41"/>
      <c r="AJ416" s="41"/>
      <c r="AK416" s="41"/>
      <c r="BI416" s="41"/>
      <c r="BT416" s="48"/>
      <c r="BU416" s="47"/>
      <c r="CG416" s="48"/>
      <c r="CH416" s="41"/>
      <c r="CI416" s="41"/>
      <c r="CJ416" s="41"/>
      <c r="CK416" s="41"/>
      <c r="CL416" s="41"/>
      <c r="CM416" s="41"/>
      <c r="CN416" s="41"/>
      <c r="CO416" s="41"/>
      <c r="CP416" s="41"/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  <c r="DG416" s="41"/>
      <c r="DH416" s="41"/>
      <c r="DI416" s="41"/>
      <c r="DJ416" s="41"/>
      <c r="DK416" s="41"/>
      <c r="DL416" s="41"/>
      <c r="DM416" s="41"/>
      <c r="DN416" s="41"/>
      <c r="DO416" s="41"/>
      <c r="DP416" s="41"/>
      <c r="DQ416" s="41"/>
      <c r="DR416" s="41"/>
      <c r="DS416" s="41"/>
      <c r="DT416" s="41"/>
      <c r="DU416" s="41"/>
      <c r="DV416" s="41"/>
      <c r="DW416" s="41"/>
      <c r="DX416" s="41"/>
      <c r="DY416" s="41"/>
      <c r="DZ416" s="41"/>
      <c r="EA416" s="41"/>
      <c r="EB416" s="41"/>
      <c r="EC416" s="41"/>
      <c r="ED416" s="41"/>
      <c r="EE416" s="41"/>
      <c r="EF416" s="41"/>
      <c r="EG416" s="41"/>
      <c r="EH416" s="41"/>
      <c r="EI416" s="41"/>
      <c r="EJ416" s="41"/>
      <c r="EK416" s="41"/>
      <c r="EL416" s="41"/>
      <c r="EM416" s="41"/>
      <c r="EN416" s="41"/>
      <c r="EO416" s="41"/>
      <c r="EP416" s="41"/>
      <c r="EQ416" s="41"/>
      <c r="ER416" s="41"/>
      <c r="ES416" s="41"/>
      <c r="ET416" s="41"/>
      <c r="EU416" s="41"/>
      <c r="EV416" s="41"/>
      <c r="EW416" s="41"/>
      <c r="EX416" s="41"/>
      <c r="EY416" s="41"/>
      <c r="EZ416" s="41"/>
      <c r="FA416" s="41"/>
      <c r="FB416" s="41"/>
      <c r="FC416" s="41"/>
      <c r="FD416" s="41"/>
      <c r="FE416" s="41"/>
    </row>
    <row r="417" spans="1:161" x14ac:dyDescent="0.25">
      <c r="A417" s="41"/>
      <c r="AC417" s="41"/>
      <c r="AD417" s="41"/>
      <c r="AE417" s="41"/>
      <c r="AF417" s="41"/>
      <c r="AG417" s="41"/>
      <c r="AH417" s="41"/>
      <c r="AI417" s="41"/>
      <c r="AJ417" s="41"/>
      <c r="AK417" s="41"/>
      <c r="BI417" s="41"/>
      <c r="BT417" s="48"/>
      <c r="BU417" s="47"/>
      <c r="CG417" s="48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  <c r="DG417" s="41"/>
      <c r="DH417" s="41"/>
      <c r="DI417" s="41"/>
      <c r="DJ417" s="41"/>
      <c r="DK417" s="41"/>
      <c r="DL417" s="41"/>
      <c r="DM417" s="41"/>
      <c r="DN417" s="41"/>
      <c r="DO417" s="41"/>
      <c r="DP417" s="41"/>
      <c r="DQ417" s="41"/>
      <c r="DR417" s="41"/>
      <c r="DS417" s="41"/>
      <c r="DT417" s="41"/>
      <c r="DU417" s="41"/>
      <c r="DV417" s="41"/>
      <c r="DW417" s="41"/>
      <c r="DX417" s="41"/>
      <c r="DY417" s="41"/>
      <c r="DZ417" s="41"/>
      <c r="EA417" s="41"/>
      <c r="EB417" s="41"/>
      <c r="EC417" s="41"/>
      <c r="ED417" s="41"/>
      <c r="EE417" s="41"/>
      <c r="EF417" s="41"/>
      <c r="EG417" s="41"/>
      <c r="EH417" s="41"/>
      <c r="EI417" s="41"/>
      <c r="EJ417" s="41"/>
      <c r="EK417" s="41"/>
      <c r="EL417" s="41"/>
      <c r="EM417" s="41"/>
      <c r="EN417" s="41"/>
      <c r="EO417" s="41"/>
      <c r="EP417" s="41"/>
      <c r="EQ417" s="41"/>
      <c r="ER417" s="41"/>
      <c r="ES417" s="41"/>
      <c r="ET417" s="41"/>
      <c r="EU417" s="41"/>
      <c r="EV417" s="41"/>
      <c r="EW417" s="41"/>
      <c r="EX417" s="41"/>
      <c r="EY417" s="41"/>
      <c r="EZ417" s="41"/>
      <c r="FA417" s="41"/>
      <c r="FB417" s="41"/>
      <c r="FC417" s="41"/>
      <c r="FD417" s="41"/>
      <c r="FE417" s="41"/>
    </row>
    <row r="418" spans="1:161" x14ac:dyDescent="0.25">
      <c r="A418" s="41"/>
      <c r="AC418" s="41"/>
      <c r="AD418" s="41"/>
      <c r="AE418" s="41"/>
      <c r="AF418" s="41"/>
      <c r="AG418" s="41"/>
      <c r="AH418" s="41"/>
      <c r="AI418" s="41"/>
      <c r="AJ418" s="41"/>
      <c r="AK418" s="41"/>
      <c r="BI418" s="41"/>
      <c r="BT418" s="48"/>
      <c r="BU418" s="47"/>
      <c r="CG418" s="48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41"/>
      <c r="DI418" s="41"/>
      <c r="DJ418" s="41"/>
      <c r="DK418" s="41"/>
      <c r="DL418" s="41"/>
      <c r="DM418" s="41"/>
      <c r="DN418" s="41"/>
      <c r="DO418" s="41"/>
      <c r="DP418" s="41"/>
      <c r="DQ418" s="41"/>
      <c r="DR418" s="41"/>
      <c r="DS418" s="41"/>
      <c r="DT418" s="41"/>
      <c r="DU418" s="41"/>
      <c r="DV418" s="41"/>
      <c r="DW418" s="41"/>
      <c r="DX418" s="41"/>
      <c r="DY418" s="41"/>
      <c r="DZ418" s="41"/>
      <c r="EA418" s="41"/>
      <c r="EB418" s="41"/>
      <c r="EC418" s="41"/>
      <c r="ED418" s="41"/>
      <c r="EE418" s="41"/>
      <c r="EF418" s="41"/>
      <c r="EG418" s="41"/>
      <c r="EH418" s="41"/>
      <c r="EI418" s="41"/>
      <c r="EJ418" s="41"/>
      <c r="EK418" s="41"/>
      <c r="EL418" s="41"/>
      <c r="EM418" s="41"/>
      <c r="EN418" s="41"/>
      <c r="EO418" s="41"/>
      <c r="EP418" s="41"/>
      <c r="EQ418" s="41"/>
      <c r="ER418" s="41"/>
      <c r="ES418" s="41"/>
      <c r="ET418" s="41"/>
      <c r="EU418" s="41"/>
      <c r="EV418" s="41"/>
      <c r="EW418" s="41"/>
      <c r="EX418" s="41"/>
      <c r="EY418" s="41"/>
      <c r="EZ418" s="41"/>
      <c r="FA418" s="41"/>
      <c r="FB418" s="41"/>
      <c r="FC418" s="41"/>
      <c r="FD418" s="41"/>
      <c r="FE418" s="41"/>
    </row>
    <row r="419" spans="1:161" x14ac:dyDescent="0.25">
      <c r="A419" s="41"/>
      <c r="AC419" s="41"/>
      <c r="AD419" s="41"/>
      <c r="AE419" s="41"/>
      <c r="AF419" s="41"/>
      <c r="AG419" s="41"/>
      <c r="AH419" s="41"/>
      <c r="AI419" s="41"/>
      <c r="AJ419" s="41"/>
      <c r="AK419" s="41"/>
      <c r="BI419" s="41"/>
      <c r="BT419" s="48"/>
      <c r="BU419" s="47"/>
      <c r="CG419" s="48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  <c r="DL419" s="41"/>
      <c r="DM419" s="41"/>
      <c r="DN419" s="41"/>
      <c r="DO419" s="41"/>
      <c r="DP419" s="41"/>
      <c r="DQ419" s="41"/>
      <c r="DR419" s="41"/>
      <c r="DS419" s="41"/>
      <c r="DT419" s="41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  <c r="EE419" s="41"/>
      <c r="EF419" s="41"/>
      <c r="EG419" s="41"/>
      <c r="EH419" s="41"/>
      <c r="EI419" s="41"/>
      <c r="EJ419" s="41"/>
      <c r="EK419" s="41"/>
      <c r="EL419" s="41"/>
      <c r="EM419" s="41"/>
      <c r="EN419" s="41"/>
      <c r="EO419" s="41"/>
      <c r="EP419" s="41"/>
      <c r="EQ419" s="41"/>
      <c r="ER419" s="41"/>
      <c r="ES419" s="41"/>
      <c r="ET419" s="41"/>
      <c r="EU419" s="41"/>
      <c r="EV419" s="41"/>
      <c r="EW419" s="41"/>
      <c r="EX419" s="41"/>
      <c r="EY419" s="41"/>
      <c r="EZ419" s="41"/>
      <c r="FA419" s="41"/>
      <c r="FB419" s="41"/>
      <c r="FC419" s="41"/>
      <c r="FD419" s="41"/>
      <c r="FE419" s="41"/>
    </row>
    <row r="420" spans="1:161" x14ac:dyDescent="0.25">
      <c r="A420" s="41"/>
      <c r="AC420" s="41"/>
      <c r="AD420" s="41"/>
      <c r="AE420" s="41"/>
      <c r="AF420" s="41"/>
      <c r="AG420" s="41"/>
      <c r="AH420" s="41"/>
      <c r="AI420" s="41"/>
      <c r="AJ420" s="41"/>
      <c r="AK420" s="41"/>
      <c r="BI420" s="41"/>
      <c r="BT420" s="48"/>
      <c r="BU420" s="47"/>
      <c r="CG420" s="48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41"/>
      <c r="DI420" s="41"/>
      <c r="DJ420" s="41"/>
      <c r="DK420" s="41"/>
      <c r="DL420" s="41"/>
      <c r="DM420" s="41"/>
      <c r="DN420" s="41"/>
      <c r="DO420" s="41"/>
      <c r="DP420" s="41"/>
      <c r="DQ420" s="41"/>
      <c r="DR420" s="41"/>
      <c r="DS420" s="41"/>
      <c r="DT420" s="41"/>
      <c r="DU420" s="41"/>
      <c r="DV420" s="41"/>
      <c r="DW420" s="41"/>
      <c r="DX420" s="41"/>
      <c r="DY420" s="41"/>
      <c r="DZ420" s="41"/>
      <c r="EA420" s="41"/>
      <c r="EB420" s="41"/>
      <c r="EC420" s="41"/>
      <c r="ED420" s="41"/>
      <c r="EE420" s="41"/>
      <c r="EF420" s="41"/>
      <c r="EG420" s="41"/>
      <c r="EH420" s="41"/>
      <c r="EI420" s="41"/>
      <c r="EJ420" s="41"/>
      <c r="EK420" s="41"/>
      <c r="EL420" s="41"/>
      <c r="EM420" s="41"/>
      <c r="EN420" s="41"/>
      <c r="EO420" s="41"/>
      <c r="EP420" s="41"/>
      <c r="EQ420" s="41"/>
      <c r="ER420" s="41"/>
      <c r="ES420" s="41"/>
      <c r="ET420" s="41"/>
      <c r="EU420" s="41"/>
      <c r="EV420" s="41"/>
      <c r="EW420" s="41"/>
      <c r="EX420" s="41"/>
      <c r="EY420" s="41"/>
      <c r="EZ420" s="41"/>
      <c r="FA420" s="41"/>
      <c r="FB420" s="41"/>
      <c r="FC420" s="41"/>
      <c r="FD420" s="41"/>
      <c r="FE420" s="41"/>
    </row>
    <row r="421" spans="1:161" x14ac:dyDescent="0.25">
      <c r="A421" s="41"/>
      <c r="AC421" s="41"/>
      <c r="AD421" s="41"/>
      <c r="AE421" s="41"/>
      <c r="AF421" s="41"/>
      <c r="AG421" s="41"/>
      <c r="AH421" s="41"/>
      <c r="AI421" s="41"/>
      <c r="AJ421" s="41"/>
      <c r="AK421" s="41"/>
      <c r="BI421" s="41"/>
      <c r="BT421" s="48"/>
      <c r="BU421" s="47"/>
      <c r="CG421" s="48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41"/>
      <c r="DI421" s="41"/>
      <c r="DJ421" s="41"/>
      <c r="DK421" s="41"/>
      <c r="DL421" s="41"/>
      <c r="DM421" s="41"/>
      <c r="DN421" s="41"/>
      <c r="DO421" s="41"/>
      <c r="DP421" s="41"/>
      <c r="DQ421" s="41"/>
      <c r="DR421" s="41"/>
      <c r="DS421" s="41"/>
      <c r="DT421" s="41"/>
      <c r="DU421" s="41"/>
      <c r="DV421" s="41"/>
      <c r="DW421" s="41"/>
      <c r="DX421" s="41"/>
      <c r="DY421" s="41"/>
      <c r="DZ421" s="41"/>
      <c r="EA421" s="41"/>
      <c r="EB421" s="41"/>
      <c r="EC421" s="41"/>
      <c r="ED421" s="41"/>
      <c r="EE421" s="41"/>
      <c r="EF421" s="41"/>
      <c r="EG421" s="41"/>
      <c r="EH421" s="41"/>
      <c r="EI421" s="41"/>
      <c r="EJ421" s="41"/>
      <c r="EK421" s="41"/>
      <c r="EL421" s="41"/>
      <c r="EM421" s="41"/>
      <c r="EN421" s="41"/>
      <c r="EO421" s="41"/>
      <c r="EP421" s="41"/>
      <c r="EQ421" s="41"/>
      <c r="ER421" s="41"/>
      <c r="ES421" s="41"/>
      <c r="ET421" s="41"/>
      <c r="EU421" s="41"/>
      <c r="EV421" s="41"/>
      <c r="EW421" s="41"/>
      <c r="EX421" s="41"/>
      <c r="EY421" s="41"/>
      <c r="EZ421" s="41"/>
      <c r="FA421" s="41"/>
      <c r="FB421" s="41"/>
      <c r="FC421" s="41"/>
      <c r="FD421" s="41"/>
      <c r="FE421" s="41"/>
    </row>
    <row r="422" spans="1:161" x14ac:dyDescent="0.25">
      <c r="A422" s="41"/>
      <c r="AC422" s="41"/>
      <c r="AD422" s="41"/>
      <c r="AE422" s="41"/>
      <c r="AF422" s="41"/>
      <c r="AG422" s="41"/>
      <c r="AH422" s="41"/>
      <c r="AI422" s="41"/>
      <c r="AJ422" s="41"/>
      <c r="AK422" s="41"/>
      <c r="BI422" s="41"/>
      <c r="BT422" s="48"/>
      <c r="BU422" s="47"/>
      <c r="CG422" s="48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41"/>
      <c r="DI422" s="41"/>
      <c r="DJ422" s="41"/>
      <c r="DK422" s="41"/>
      <c r="DL422" s="41"/>
      <c r="DM422" s="41"/>
      <c r="DN422" s="41"/>
      <c r="DO422" s="41"/>
      <c r="DP422" s="41"/>
      <c r="DQ422" s="41"/>
      <c r="DR422" s="41"/>
      <c r="DS422" s="41"/>
      <c r="DT422" s="41"/>
      <c r="DU422" s="41"/>
      <c r="DV422" s="41"/>
      <c r="DW422" s="41"/>
      <c r="DX422" s="41"/>
      <c r="DY422" s="41"/>
      <c r="DZ422" s="41"/>
      <c r="EA422" s="41"/>
      <c r="EB422" s="41"/>
      <c r="EC422" s="41"/>
      <c r="ED422" s="41"/>
      <c r="EE422" s="41"/>
      <c r="EF422" s="41"/>
      <c r="EG422" s="41"/>
      <c r="EH422" s="41"/>
      <c r="EI422" s="41"/>
      <c r="EJ422" s="41"/>
      <c r="EK422" s="41"/>
      <c r="EL422" s="41"/>
      <c r="EM422" s="41"/>
      <c r="EN422" s="41"/>
      <c r="EO422" s="41"/>
      <c r="EP422" s="41"/>
      <c r="EQ422" s="41"/>
      <c r="ER422" s="41"/>
      <c r="ES422" s="41"/>
      <c r="ET422" s="41"/>
      <c r="EU422" s="41"/>
      <c r="EV422" s="41"/>
      <c r="EW422" s="41"/>
      <c r="EX422" s="41"/>
      <c r="EY422" s="41"/>
      <c r="EZ422" s="41"/>
      <c r="FA422" s="41"/>
      <c r="FB422" s="41"/>
      <c r="FC422" s="41"/>
      <c r="FD422" s="41"/>
      <c r="FE422" s="41"/>
    </row>
    <row r="423" spans="1:161" x14ac:dyDescent="0.25">
      <c r="A423" s="41"/>
      <c r="AC423" s="41"/>
      <c r="AD423" s="41"/>
      <c r="AE423" s="41"/>
      <c r="AF423" s="41"/>
      <c r="AG423" s="41"/>
      <c r="AH423" s="41"/>
      <c r="AI423" s="41"/>
      <c r="AJ423" s="41"/>
      <c r="AK423" s="41"/>
      <c r="BI423" s="41"/>
      <c r="BT423" s="48"/>
      <c r="BU423" s="47"/>
      <c r="CG423" s="48"/>
      <c r="CH423" s="41"/>
      <c r="CI423" s="41"/>
      <c r="CJ423" s="41"/>
      <c r="CK423" s="41"/>
      <c r="CL423" s="41"/>
      <c r="CM423" s="41"/>
      <c r="CN423" s="41"/>
      <c r="CO423" s="41"/>
      <c r="CP423" s="41"/>
      <c r="CQ423" s="41"/>
      <c r="CR423" s="41"/>
      <c r="CS423" s="41"/>
      <c r="CT423" s="41"/>
      <c r="CU423" s="41"/>
      <c r="CV423" s="41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  <c r="DG423" s="41"/>
      <c r="DH423" s="41"/>
      <c r="DI423" s="41"/>
      <c r="DJ423" s="41"/>
      <c r="DK423" s="41"/>
      <c r="DL423" s="41"/>
      <c r="DM423" s="41"/>
      <c r="DN423" s="41"/>
      <c r="DO423" s="41"/>
      <c r="DP423" s="41"/>
      <c r="DQ423" s="41"/>
      <c r="DR423" s="41"/>
      <c r="DS423" s="41"/>
      <c r="DT423" s="41"/>
      <c r="DU423" s="41"/>
      <c r="DV423" s="41"/>
      <c r="DW423" s="41"/>
      <c r="DX423" s="41"/>
      <c r="DY423" s="41"/>
      <c r="DZ423" s="41"/>
      <c r="EA423" s="41"/>
      <c r="EB423" s="41"/>
      <c r="EC423" s="41"/>
      <c r="ED423" s="41"/>
      <c r="EE423" s="41"/>
      <c r="EF423" s="41"/>
      <c r="EG423" s="41"/>
      <c r="EH423" s="41"/>
      <c r="EI423" s="41"/>
      <c r="EJ423" s="41"/>
      <c r="EK423" s="41"/>
      <c r="EL423" s="41"/>
      <c r="EM423" s="41"/>
      <c r="EN423" s="41"/>
      <c r="EO423" s="41"/>
      <c r="EP423" s="41"/>
      <c r="EQ423" s="41"/>
      <c r="ER423" s="41"/>
      <c r="ES423" s="41"/>
      <c r="ET423" s="41"/>
      <c r="EU423" s="41"/>
      <c r="EV423" s="41"/>
      <c r="EW423" s="41"/>
      <c r="EX423" s="41"/>
      <c r="EY423" s="41"/>
      <c r="EZ423" s="41"/>
      <c r="FA423" s="41"/>
      <c r="FB423" s="41"/>
      <c r="FC423" s="41"/>
      <c r="FD423" s="41"/>
      <c r="FE423" s="41"/>
    </row>
    <row r="424" spans="1:161" x14ac:dyDescent="0.25">
      <c r="A424" s="41"/>
      <c r="AC424" s="41"/>
      <c r="AD424" s="41"/>
      <c r="AE424" s="41"/>
      <c r="AF424" s="41"/>
      <c r="AG424" s="41"/>
      <c r="AH424" s="41"/>
      <c r="AI424" s="41"/>
      <c r="AJ424" s="41"/>
      <c r="AK424" s="41"/>
      <c r="BI424" s="41"/>
      <c r="BT424" s="48"/>
      <c r="BU424" s="47"/>
      <c r="CG424" s="48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  <c r="DG424" s="41"/>
      <c r="DH424" s="41"/>
      <c r="DI424" s="41"/>
      <c r="DJ424" s="41"/>
      <c r="DK424" s="41"/>
      <c r="DL424" s="41"/>
      <c r="DM424" s="41"/>
      <c r="DN424" s="41"/>
      <c r="DO424" s="41"/>
      <c r="DP424" s="41"/>
      <c r="DQ424" s="41"/>
      <c r="DR424" s="41"/>
      <c r="DS424" s="41"/>
      <c r="DT424" s="41"/>
      <c r="DU424" s="41"/>
      <c r="DV424" s="41"/>
      <c r="DW424" s="41"/>
      <c r="DX424" s="41"/>
      <c r="DY424" s="41"/>
      <c r="DZ424" s="41"/>
      <c r="EA424" s="41"/>
      <c r="EB424" s="41"/>
      <c r="EC424" s="41"/>
      <c r="ED424" s="41"/>
      <c r="EE424" s="41"/>
      <c r="EF424" s="41"/>
      <c r="EG424" s="41"/>
      <c r="EH424" s="41"/>
      <c r="EI424" s="41"/>
      <c r="EJ424" s="41"/>
      <c r="EK424" s="41"/>
      <c r="EL424" s="41"/>
      <c r="EM424" s="41"/>
      <c r="EN424" s="41"/>
      <c r="EO424" s="41"/>
      <c r="EP424" s="41"/>
      <c r="EQ424" s="41"/>
      <c r="ER424" s="41"/>
      <c r="ES424" s="41"/>
      <c r="ET424" s="41"/>
      <c r="EU424" s="41"/>
      <c r="EV424" s="41"/>
      <c r="EW424" s="41"/>
      <c r="EX424" s="41"/>
      <c r="EY424" s="41"/>
      <c r="EZ424" s="41"/>
      <c r="FA424" s="41"/>
      <c r="FB424" s="41"/>
      <c r="FC424" s="41"/>
      <c r="FD424" s="41"/>
      <c r="FE424" s="41"/>
    </row>
    <row r="425" spans="1:161" x14ac:dyDescent="0.25">
      <c r="A425" s="41"/>
      <c r="AC425" s="41"/>
      <c r="AD425" s="41"/>
      <c r="AE425" s="41"/>
      <c r="AF425" s="41"/>
      <c r="AG425" s="41"/>
      <c r="AH425" s="41"/>
      <c r="AI425" s="41"/>
      <c r="AJ425" s="41"/>
      <c r="AK425" s="41"/>
      <c r="BI425" s="41"/>
      <c r="BT425" s="48"/>
      <c r="BU425" s="47"/>
      <c r="CG425" s="48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1"/>
      <c r="DJ425" s="41"/>
      <c r="DK425" s="41"/>
      <c r="DL425" s="41"/>
      <c r="DM425" s="41"/>
      <c r="DN425" s="41"/>
      <c r="DO425" s="41"/>
      <c r="DP425" s="41"/>
      <c r="DQ425" s="41"/>
      <c r="DR425" s="41"/>
      <c r="DS425" s="41"/>
      <c r="DT425" s="41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  <c r="EL425" s="41"/>
      <c r="EM425" s="41"/>
      <c r="EN425" s="41"/>
      <c r="EO425" s="41"/>
      <c r="EP425" s="41"/>
      <c r="EQ425" s="41"/>
      <c r="ER425" s="41"/>
      <c r="ES425" s="41"/>
      <c r="ET425" s="41"/>
      <c r="EU425" s="41"/>
      <c r="EV425" s="41"/>
      <c r="EW425" s="41"/>
      <c r="EX425" s="41"/>
      <c r="EY425" s="41"/>
      <c r="EZ425" s="41"/>
      <c r="FA425" s="41"/>
      <c r="FB425" s="41"/>
      <c r="FC425" s="41"/>
      <c r="FD425" s="41"/>
      <c r="FE425" s="41"/>
    </row>
    <row r="426" spans="1:161" x14ac:dyDescent="0.25">
      <c r="A426" s="41"/>
      <c r="AC426" s="41"/>
      <c r="AD426" s="41"/>
      <c r="AE426" s="41"/>
      <c r="AF426" s="41"/>
      <c r="AG426" s="41"/>
      <c r="AH426" s="41"/>
      <c r="AI426" s="41"/>
      <c r="AJ426" s="41"/>
      <c r="AK426" s="41"/>
      <c r="BI426" s="41"/>
      <c r="BT426" s="48"/>
      <c r="BU426" s="47"/>
      <c r="CG426" s="48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  <c r="DL426" s="41"/>
      <c r="DM426" s="41"/>
      <c r="DN426" s="41"/>
      <c r="DO426" s="41"/>
      <c r="DP426" s="41"/>
      <c r="DQ426" s="41"/>
      <c r="DR426" s="41"/>
      <c r="DS426" s="41"/>
      <c r="DT426" s="41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  <c r="EL426" s="41"/>
      <c r="EM426" s="41"/>
      <c r="EN426" s="41"/>
      <c r="EO426" s="41"/>
      <c r="EP426" s="41"/>
      <c r="EQ426" s="41"/>
      <c r="ER426" s="41"/>
      <c r="ES426" s="41"/>
      <c r="ET426" s="41"/>
      <c r="EU426" s="41"/>
      <c r="EV426" s="41"/>
      <c r="EW426" s="41"/>
      <c r="EX426" s="41"/>
      <c r="EY426" s="41"/>
      <c r="EZ426" s="41"/>
      <c r="FA426" s="41"/>
      <c r="FB426" s="41"/>
      <c r="FC426" s="41"/>
      <c r="FD426" s="41"/>
      <c r="FE426" s="41"/>
    </row>
    <row r="427" spans="1:161" x14ac:dyDescent="0.25">
      <c r="A427" s="41"/>
      <c r="AC427" s="41"/>
      <c r="AD427" s="41"/>
      <c r="AE427" s="41"/>
      <c r="AF427" s="41"/>
      <c r="AG427" s="41"/>
      <c r="AH427" s="41"/>
      <c r="AI427" s="41"/>
      <c r="AJ427" s="41"/>
      <c r="AK427" s="41"/>
      <c r="BI427" s="41"/>
      <c r="BT427" s="48"/>
      <c r="BU427" s="47"/>
      <c r="CG427" s="48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1"/>
      <c r="DJ427" s="41"/>
      <c r="DK427" s="41"/>
      <c r="DL427" s="41"/>
      <c r="DM427" s="41"/>
      <c r="DN427" s="41"/>
      <c r="DO427" s="41"/>
      <c r="DP427" s="41"/>
      <c r="DQ427" s="41"/>
      <c r="DR427" s="41"/>
      <c r="DS427" s="41"/>
      <c r="DT427" s="41"/>
      <c r="DU427" s="41"/>
      <c r="DV427" s="41"/>
      <c r="DW427" s="41"/>
      <c r="DX427" s="41"/>
      <c r="DY427" s="41"/>
      <c r="DZ427" s="41"/>
      <c r="EA427" s="41"/>
      <c r="EB427" s="41"/>
      <c r="EC427" s="41"/>
      <c r="ED427" s="41"/>
      <c r="EE427" s="41"/>
      <c r="EF427" s="41"/>
      <c r="EG427" s="41"/>
      <c r="EH427" s="41"/>
      <c r="EI427" s="41"/>
      <c r="EJ427" s="41"/>
      <c r="EK427" s="41"/>
      <c r="EL427" s="41"/>
      <c r="EM427" s="41"/>
      <c r="EN427" s="41"/>
      <c r="EO427" s="41"/>
      <c r="EP427" s="41"/>
      <c r="EQ427" s="41"/>
      <c r="ER427" s="41"/>
      <c r="ES427" s="41"/>
      <c r="ET427" s="41"/>
      <c r="EU427" s="41"/>
      <c r="EV427" s="41"/>
      <c r="EW427" s="41"/>
      <c r="EX427" s="41"/>
      <c r="EY427" s="41"/>
      <c r="EZ427" s="41"/>
      <c r="FA427" s="41"/>
      <c r="FB427" s="41"/>
      <c r="FC427" s="41"/>
      <c r="FD427" s="41"/>
      <c r="FE427" s="41"/>
    </row>
    <row r="428" spans="1:161" x14ac:dyDescent="0.25">
      <c r="A428" s="41"/>
      <c r="AC428" s="41"/>
      <c r="AD428" s="41"/>
      <c r="AE428" s="41"/>
      <c r="AF428" s="41"/>
      <c r="AG428" s="41"/>
      <c r="AH428" s="41"/>
      <c r="AI428" s="41"/>
      <c r="AJ428" s="41"/>
      <c r="AK428" s="41"/>
      <c r="BI428" s="41"/>
      <c r="BT428" s="48"/>
      <c r="BU428" s="47"/>
      <c r="CG428" s="48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41"/>
      <c r="DI428" s="41"/>
      <c r="DJ428" s="41"/>
      <c r="DK428" s="41"/>
      <c r="DL428" s="41"/>
      <c r="DM428" s="41"/>
      <c r="DN428" s="41"/>
      <c r="DO428" s="41"/>
      <c r="DP428" s="41"/>
      <c r="DQ428" s="41"/>
      <c r="DR428" s="41"/>
      <c r="DS428" s="41"/>
      <c r="DT428" s="41"/>
      <c r="DU428" s="41"/>
      <c r="DV428" s="41"/>
      <c r="DW428" s="41"/>
      <c r="DX428" s="41"/>
      <c r="DY428" s="41"/>
      <c r="DZ428" s="41"/>
      <c r="EA428" s="41"/>
      <c r="EB428" s="41"/>
      <c r="EC428" s="41"/>
      <c r="ED428" s="41"/>
      <c r="EE428" s="41"/>
      <c r="EF428" s="41"/>
      <c r="EG428" s="41"/>
      <c r="EH428" s="41"/>
      <c r="EI428" s="41"/>
      <c r="EJ428" s="41"/>
      <c r="EK428" s="41"/>
      <c r="EL428" s="41"/>
      <c r="EM428" s="41"/>
      <c r="EN428" s="41"/>
      <c r="EO428" s="41"/>
      <c r="EP428" s="41"/>
      <c r="EQ428" s="41"/>
      <c r="ER428" s="41"/>
      <c r="ES428" s="41"/>
      <c r="ET428" s="41"/>
      <c r="EU428" s="41"/>
      <c r="EV428" s="41"/>
      <c r="EW428" s="41"/>
      <c r="EX428" s="41"/>
      <c r="EY428" s="41"/>
      <c r="EZ428" s="41"/>
      <c r="FA428" s="41"/>
      <c r="FB428" s="41"/>
      <c r="FC428" s="41"/>
      <c r="FD428" s="41"/>
      <c r="FE428" s="41"/>
    </row>
    <row r="429" spans="1:161" x14ac:dyDescent="0.25">
      <c r="A429" s="41"/>
      <c r="AC429" s="41"/>
      <c r="AD429" s="41"/>
      <c r="AE429" s="41"/>
      <c r="AF429" s="41"/>
      <c r="AG429" s="41"/>
      <c r="AH429" s="41"/>
      <c r="AI429" s="41"/>
      <c r="AJ429" s="41"/>
      <c r="AK429" s="41"/>
      <c r="BI429" s="41"/>
      <c r="BT429" s="48"/>
      <c r="BU429" s="47"/>
      <c r="CG429" s="48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  <c r="DG429" s="41"/>
      <c r="DH429" s="41"/>
      <c r="DI429" s="41"/>
      <c r="DJ429" s="41"/>
      <c r="DK429" s="41"/>
      <c r="DL429" s="41"/>
      <c r="DM429" s="41"/>
      <c r="DN429" s="41"/>
      <c r="DO429" s="41"/>
      <c r="DP429" s="41"/>
      <c r="DQ429" s="41"/>
      <c r="DR429" s="41"/>
      <c r="DS429" s="41"/>
      <c r="DT429" s="41"/>
      <c r="DU429" s="41"/>
      <c r="DV429" s="41"/>
      <c r="DW429" s="41"/>
      <c r="DX429" s="41"/>
      <c r="DY429" s="41"/>
      <c r="DZ429" s="41"/>
      <c r="EA429" s="41"/>
      <c r="EB429" s="41"/>
      <c r="EC429" s="41"/>
      <c r="ED429" s="41"/>
      <c r="EE429" s="41"/>
      <c r="EF429" s="41"/>
      <c r="EG429" s="41"/>
      <c r="EH429" s="41"/>
      <c r="EI429" s="41"/>
      <c r="EJ429" s="41"/>
      <c r="EK429" s="41"/>
      <c r="EL429" s="41"/>
      <c r="EM429" s="41"/>
      <c r="EN429" s="41"/>
      <c r="EO429" s="41"/>
      <c r="EP429" s="41"/>
      <c r="EQ429" s="41"/>
      <c r="ER429" s="41"/>
      <c r="ES429" s="41"/>
      <c r="ET429" s="41"/>
      <c r="EU429" s="41"/>
      <c r="EV429" s="41"/>
      <c r="EW429" s="41"/>
      <c r="EX429" s="41"/>
      <c r="EY429" s="41"/>
      <c r="EZ429" s="41"/>
      <c r="FA429" s="41"/>
      <c r="FB429" s="41"/>
      <c r="FC429" s="41"/>
      <c r="FD429" s="41"/>
      <c r="FE429" s="41"/>
    </row>
    <row r="430" spans="1:161" x14ac:dyDescent="0.25">
      <c r="A430" s="41"/>
      <c r="AC430" s="41"/>
      <c r="AD430" s="41"/>
      <c r="AE430" s="41"/>
      <c r="AF430" s="41"/>
      <c r="AG430" s="41"/>
      <c r="AH430" s="41"/>
      <c r="AI430" s="41"/>
      <c r="AJ430" s="41"/>
      <c r="AK430" s="41"/>
      <c r="BI430" s="41"/>
      <c r="BT430" s="48"/>
      <c r="BU430" s="47"/>
      <c r="CG430" s="48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  <c r="DG430" s="41"/>
      <c r="DH430" s="41"/>
      <c r="DI430" s="41"/>
      <c r="DJ430" s="41"/>
      <c r="DK430" s="41"/>
      <c r="DL430" s="41"/>
      <c r="DM430" s="41"/>
      <c r="DN430" s="41"/>
      <c r="DO430" s="41"/>
      <c r="DP430" s="41"/>
      <c r="DQ430" s="41"/>
      <c r="DR430" s="41"/>
      <c r="DS430" s="41"/>
      <c r="DT430" s="41"/>
      <c r="DU430" s="41"/>
      <c r="DV430" s="41"/>
      <c r="DW430" s="41"/>
      <c r="DX430" s="41"/>
      <c r="DY430" s="41"/>
      <c r="DZ430" s="41"/>
      <c r="EA430" s="41"/>
      <c r="EB430" s="41"/>
      <c r="EC430" s="41"/>
      <c r="ED430" s="41"/>
      <c r="EE430" s="41"/>
      <c r="EF430" s="41"/>
      <c r="EG430" s="41"/>
      <c r="EH430" s="41"/>
      <c r="EI430" s="41"/>
      <c r="EJ430" s="41"/>
      <c r="EK430" s="41"/>
      <c r="EL430" s="41"/>
      <c r="EM430" s="41"/>
      <c r="EN430" s="41"/>
      <c r="EO430" s="41"/>
      <c r="EP430" s="41"/>
      <c r="EQ430" s="41"/>
      <c r="ER430" s="41"/>
      <c r="ES430" s="41"/>
      <c r="ET430" s="41"/>
      <c r="EU430" s="41"/>
      <c r="EV430" s="41"/>
      <c r="EW430" s="41"/>
      <c r="EX430" s="41"/>
      <c r="EY430" s="41"/>
      <c r="EZ430" s="41"/>
      <c r="FA430" s="41"/>
      <c r="FB430" s="41"/>
      <c r="FC430" s="41"/>
      <c r="FD430" s="41"/>
      <c r="FE430" s="41"/>
    </row>
    <row r="431" spans="1:161" x14ac:dyDescent="0.25">
      <c r="A431" s="41"/>
      <c r="AC431" s="41"/>
      <c r="AD431" s="41"/>
      <c r="AE431" s="41"/>
      <c r="AF431" s="41"/>
      <c r="AG431" s="41"/>
      <c r="AH431" s="41"/>
      <c r="AI431" s="41"/>
      <c r="AJ431" s="41"/>
      <c r="AK431" s="41"/>
      <c r="BI431" s="41"/>
      <c r="BT431" s="48"/>
      <c r="BU431" s="47"/>
      <c r="CG431" s="48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41"/>
      <c r="DI431" s="41"/>
      <c r="DJ431" s="41"/>
      <c r="DK431" s="41"/>
      <c r="DL431" s="41"/>
      <c r="DM431" s="41"/>
      <c r="DN431" s="41"/>
      <c r="DO431" s="41"/>
      <c r="DP431" s="41"/>
      <c r="DQ431" s="41"/>
      <c r="DR431" s="41"/>
      <c r="DS431" s="41"/>
      <c r="DT431" s="41"/>
      <c r="DU431" s="41"/>
      <c r="DV431" s="41"/>
      <c r="DW431" s="41"/>
      <c r="DX431" s="41"/>
      <c r="DY431" s="41"/>
      <c r="DZ431" s="41"/>
      <c r="EA431" s="41"/>
      <c r="EB431" s="41"/>
      <c r="EC431" s="41"/>
      <c r="ED431" s="41"/>
      <c r="EE431" s="41"/>
      <c r="EF431" s="41"/>
      <c r="EG431" s="41"/>
      <c r="EH431" s="41"/>
      <c r="EI431" s="41"/>
      <c r="EJ431" s="41"/>
      <c r="EK431" s="41"/>
      <c r="EL431" s="41"/>
      <c r="EM431" s="41"/>
      <c r="EN431" s="41"/>
      <c r="EO431" s="41"/>
      <c r="EP431" s="41"/>
      <c r="EQ431" s="41"/>
      <c r="ER431" s="41"/>
      <c r="ES431" s="41"/>
      <c r="ET431" s="41"/>
      <c r="EU431" s="41"/>
      <c r="EV431" s="41"/>
      <c r="EW431" s="41"/>
      <c r="EX431" s="41"/>
      <c r="EY431" s="41"/>
      <c r="EZ431" s="41"/>
      <c r="FA431" s="41"/>
      <c r="FB431" s="41"/>
      <c r="FC431" s="41"/>
      <c r="FD431" s="41"/>
      <c r="FE431" s="41"/>
    </row>
    <row r="432" spans="1:161" x14ac:dyDescent="0.25">
      <c r="A432" s="41"/>
      <c r="AC432" s="41"/>
      <c r="AD432" s="41"/>
      <c r="AE432" s="41"/>
      <c r="AF432" s="41"/>
      <c r="AG432" s="41"/>
      <c r="AH432" s="41"/>
      <c r="AI432" s="41"/>
      <c r="AJ432" s="41"/>
      <c r="AK432" s="41"/>
      <c r="BI432" s="41"/>
      <c r="BT432" s="48"/>
      <c r="BU432" s="47"/>
      <c r="CG432" s="48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  <c r="DG432" s="41"/>
      <c r="DH432" s="41"/>
      <c r="DI432" s="41"/>
      <c r="DJ432" s="41"/>
      <c r="DK432" s="41"/>
      <c r="DL432" s="41"/>
      <c r="DM432" s="41"/>
      <c r="DN432" s="41"/>
      <c r="DO432" s="41"/>
      <c r="DP432" s="41"/>
      <c r="DQ432" s="41"/>
      <c r="DR432" s="41"/>
      <c r="DS432" s="41"/>
      <c r="DT432" s="41"/>
      <c r="DU432" s="41"/>
      <c r="DV432" s="41"/>
      <c r="DW432" s="41"/>
      <c r="DX432" s="41"/>
      <c r="DY432" s="41"/>
      <c r="DZ432" s="41"/>
      <c r="EA432" s="41"/>
      <c r="EB432" s="41"/>
      <c r="EC432" s="41"/>
      <c r="ED432" s="41"/>
      <c r="EE432" s="41"/>
      <c r="EF432" s="41"/>
      <c r="EG432" s="41"/>
      <c r="EH432" s="41"/>
      <c r="EI432" s="41"/>
      <c r="EJ432" s="41"/>
      <c r="EK432" s="41"/>
      <c r="EL432" s="41"/>
      <c r="EM432" s="41"/>
      <c r="EN432" s="41"/>
      <c r="EO432" s="41"/>
      <c r="EP432" s="41"/>
      <c r="EQ432" s="41"/>
      <c r="ER432" s="41"/>
      <c r="ES432" s="41"/>
      <c r="ET432" s="41"/>
      <c r="EU432" s="41"/>
      <c r="EV432" s="41"/>
      <c r="EW432" s="41"/>
      <c r="EX432" s="41"/>
      <c r="EY432" s="41"/>
      <c r="EZ432" s="41"/>
      <c r="FA432" s="41"/>
      <c r="FB432" s="41"/>
      <c r="FC432" s="41"/>
      <c r="FD432" s="41"/>
      <c r="FE432" s="41"/>
    </row>
    <row r="433" spans="1:161" x14ac:dyDescent="0.25">
      <c r="A433" s="41"/>
      <c r="AC433" s="41"/>
      <c r="AD433" s="41"/>
      <c r="AE433" s="41"/>
      <c r="AF433" s="41"/>
      <c r="AG433" s="41"/>
      <c r="AH433" s="41"/>
      <c r="AI433" s="41"/>
      <c r="AJ433" s="41"/>
      <c r="AK433" s="41"/>
      <c r="BI433" s="41"/>
      <c r="BT433" s="48"/>
      <c r="BU433" s="47"/>
      <c r="CG433" s="48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  <c r="DG433" s="41"/>
      <c r="DH433" s="41"/>
      <c r="DI433" s="41"/>
      <c r="DJ433" s="41"/>
      <c r="DK433" s="41"/>
      <c r="DL433" s="41"/>
      <c r="DM433" s="41"/>
      <c r="DN433" s="41"/>
      <c r="DO433" s="41"/>
      <c r="DP433" s="41"/>
      <c r="DQ433" s="41"/>
      <c r="DR433" s="41"/>
      <c r="DS433" s="41"/>
      <c r="DT433" s="41"/>
      <c r="DU433" s="41"/>
      <c r="DV433" s="41"/>
      <c r="DW433" s="41"/>
      <c r="DX433" s="41"/>
      <c r="DY433" s="41"/>
      <c r="DZ433" s="41"/>
      <c r="EA433" s="41"/>
      <c r="EB433" s="41"/>
      <c r="EC433" s="41"/>
      <c r="ED433" s="41"/>
      <c r="EE433" s="41"/>
      <c r="EF433" s="41"/>
      <c r="EG433" s="41"/>
      <c r="EH433" s="41"/>
      <c r="EI433" s="41"/>
      <c r="EJ433" s="41"/>
      <c r="EK433" s="41"/>
      <c r="EL433" s="41"/>
      <c r="EM433" s="41"/>
      <c r="EN433" s="41"/>
      <c r="EO433" s="41"/>
      <c r="EP433" s="41"/>
      <c r="EQ433" s="41"/>
      <c r="ER433" s="41"/>
      <c r="ES433" s="41"/>
      <c r="ET433" s="41"/>
      <c r="EU433" s="41"/>
      <c r="EV433" s="41"/>
      <c r="EW433" s="41"/>
      <c r="EX433" s="41"/>
      <c r="EY433" s="41"/>
      <c r="EZ433" s="41"/>
      <c r="FA433" s="41"/>
      <c r="FB433" s="41"/>
      <c r="FC433" s="41"/>
      <c r="FD433" s="41"/>
      <c r="FE433" s="41"/>
    </row>
    <row r="434" spans="1:161" x14ac:dyDescent="0.25">
      <c r="A434" s="41"/>
      <c r="AC434" s="41"/>
      <c r="AD434" s="41"/>
      <c r="AE434" s="41"/>
      <c r="AF434" s="41"/>
      <c r="AG434" s="41"/>
      <c r="AH434" s="41"/>
      <c r="AI434" s="41"/>
      <c r="AJ434" s="41"/>
      <c r="AK434" s="41"/>
      <c r="BI434" s="41"/>
      <c r="BT434" s="48"/>
      <c r="BU434" s="47"/>
      <c r="CG434" s="48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  <c r="DG434" s="41"/>
      <c r="DH434" s="41"/>
      <c r="DI434" s="41"/>
      <c r="DJ434" s="41"/>
      <c r="DK434" s="41"/>
      <c r="DL434" s="41"/>
      <c r="DM434" s="41"/>
      <c r="DN434" s="41"/>
      <c r="DO434" s="41"/>
      <c r="DP434" s="41"/>
      <c r="DQ434" s="41"/>
      <c r="DR434" s="41"/>
      <c r="DS434" s="41"/>
      <c r="DT434" s="41"/>
      <c r="DU434" s="41"/>
      <c r="DV434" s="41"/>
      <c r="DW434" s="41"/>
      <c r="DX434" s="41"/>
      <c r="DY434" s="41"/>
      <c r="DZ434" s="41"/>
      <c r="EA434" s="41"/>
      <c r="EB434" s="41"/>
      <c r="EC434" s="41"/>
      <c r="ED434" s="41"/>
      <c r="EE434" s="41"/>
      <c r="EF434" s="41"/>
      <c r="EG434" s="41"/>
      <c r="EH434" s="41"/>
      <c r="EI434" s="41"/>
      <c r="EJ434" s="41"/>
      <c r="EK434" s="41"/>
      <c r="EL434" s="41"/>
      <c r="EM434" s="41"/>
      <c r="EN434" s="41"/>
      <c r="EO434" s="41"/>
      <c r="EP434" s="41"/>
      <c r="EQ434" s="41"/>
      <c r="ER434" s="41"/>
      <c r="ES434" s="41"/>
      <c r="ET434" s="41"/>
      <c r="EU434" s="41"/>
      <c r="EV434" s="41"/>
      <c r="EW434" s="41"/>
      <c r="EX434" s="41"/>
      <c r="EY434" s="41"/>
      <c r="EZ434" s="41"/>
      <c r="FA434" s="41"/>
      <c r="FB434" s="41"/>
      <c r="FC434" s="41"/>
      <c r="FD434" s="41"/>
      <c r="FE434" s="41"/>
    </row>
    <row r="435" spans="1:161" x14ac:dyDescent="0.25">
      <c r="A435" s="41"/>
      <c r="AC435" s="41"/>
      <c r="AD435" s="41"/>
      <c r="AE435" s="41"/>
      <c r="AF435" s="41"/>
      <c r="AG435" s="41"/>
      <c r="AH435" s="41"/>
      <c r="AI435" s="41"/>
      <c r="AJ435" s="41"/>
      <c r="AK435" s="41"/>
      <c r="BI435" s="41"/>
      <c r="BT435" s="48"/>
      <c r="BU435" s="47"/>
      <c r="CG435" s="48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  <c r="DG435" s="41"/>
      <c r="DH435" s="41"/>
      <c r="DI435" s="41"/>
      <c r="DJ435" s="41"/>
      <c r="DK435" s="41"/>
      <c r="DL435" s="41"/>
      <c r="DM435" s="41"/>
      <c r="DN435" s="41"/>
      <c r="DO435" s="41"/>
      <c r="DP435" s="41"/>
      <c r="DQ435" s="41"/>
      <c r="DR435" s="41"/>
      <c r="DS435" s="41"/>
      <c r="DT435" s="41"/>
      <c r="DU435" s="41"/>
      <c r="DV435" s="41"/>
      <c r="DW435" s="41"/>
      <c r="DX435" s="41"/>
      <c r="DY435" s="41"/>
      <c r="DZ435" s="41"/>
      <c r="EA435" s="41"/>
      <c r="EB435" s="41"/>
      <c r="EC435" s="41"/>
      <c r="ED435" s="41"/>
      <c r="EE435" s="41"/>
      <c r="EF435" s="41"/>
      <c r="EG435" s="41"/>
      <c r="EH435" s="41"/>
      <c r="EI435" s="41"/>
      <c r="EJ435" s="41"/>
      <c r="EK435" s="41"/>
      <c r="EL435" s="41"/>
      <c r="EM435" s="41"/>
      <c r="EN435" s="41"/>
      <c r="EO435" s="41"/>
      <c r="EP435" s="41"/>
      <c r="EQ435" s="41"/>
      <c r="ER435" s="41"/>
      <c r="ES435" s="41"/>
      <c r="ET435" s="41"/>
      <c r="EU435" s="41"/>
      <c r="EV435" s="41"/>
      <c r="EW435" s="41"/>
      <c r="EX435" s="41"/>
      <c r="EY435" s="41"/>
      <c r="EZ435" s="41"/>
      <c r="FA435" s="41"/>
      <c r="FB435" s="41"/>
      <c r="FC435" s="41"/>
      <c r="FD435" s="41"/>
      <c r="FE435" s="41"/>
    </row>
    <row r="436" spans="1:161" x14ac:dyDescent="0.25">
      <c r="A436" s="41"/>
      <c r="AC436" s="41"/>
      <c r="AD436" s="41"/>
      <c r="AE436" s="41"/>
      <c r="AF436" s="41"/>
      <c r="AG436" s="41"/>
      <c r="AH436" s="41"/>
      <c r="AI436" s="41"/>
      <c r="AJ436" s="41"/>
      <c r="AK436" s="41"/>
      <c r="BI436" s="41"/>
      <c r="BT436" s="48"/>
      <c r="BU436" s="47"/>
      <c r="CG436" s="48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  <c r="DG436" s="41"/>
      <c r="DH436" s="41"/>
      <c r="DI436" s="41"/>
      <c r="DJ436" s="41"/>
      <c r="DK436" s="41"/>
      <c r="DL436" s="41"/>
      <c r="DM436" s="41"/>
      <c r="DN436" s="41"/>
      <c r="DO436" s="41"/>
      <c r="DP436" s="41"/>
      <c r="DQ436" s="41"/>
      <c r="DR436" s="41"/>
      <c r="DS436" s="41"/>
      <c r="DT436" s="41"/>
      <c r="DU436" s="41"/>
      <c r="DV436" s="41"/>
      <c r="DW436" s="41"/>
      <c r="DX436" s="41"/>
      <c r="DY436" s="41"/>
      <c r="DZ436" s="41"/>
      <c r="EA436" s="41"/>
      <c r="EB436" s="41"/>
      <c r="EC436" s="41"/>
      <c r="ED436" s="41"/>
      <c r="EE436" s="41"/>
      <c r="EF436" s="41"/>
      <c r="EG436" s="41"/>
      <c r="EH436" s="41"/>
      <c r="EI436" s="41"/>
      <c r="EJ436" s="41"/>
      <c r="EK436" s="41"/>
      <c r="EL436" s="41"/>
      <c r="EM436" s="41"/>
      <c r="EN436" s="41"/>
      <c r="EO436" s="41"/>
      <c r="EP436" s="41"/>
      <c r="EQ436" s="41"/>
      <c r="ER436" s="41"/>
      <c r="ES436" s="41"/>
      <c r="ET436" s="41"/>
      <c r="EU436" s="41"/>
      <c r="EV436" s="41"/>
      <c r="EW436" s="41"/>
      <c r="EX436" s="41"/>
      <c r="EY436" s="41"/>
      <c r="EZ436" s="41"/>
      <c r="FA436" s="41"/>
      <c r="FB436" s="41"/>
      <c r="FC436" s="41"/>
      <c r="FD436" s="41"/>
      <c r="FE436" s="41"/>
    </row>
    <row r="437" spans="1:161" x14ac:dyDescent="0.25">
      <c r="A437" s="41"/>
      <c r="AC437" s="41"/>
      <c r="AD437" s="41"/>
      <c r="AE437" s="41"/>
      <c r="AF437" s="41"/>
      <c r="AG437" s="41"/>
      <c r="AH437" s="41"/>
      <c r="AI437" s="41"/>
      <c r="AJ437" s="41"/>
      <c r="AK437" s="41"/>
      <c r="BI437" s="41"/>
      <c r="BT437" s="48"/>
      <c r="BU437" s="47"/>
      <c r="CG437" s="48"/>
      <c r="CH437" s="41"/>
      <c r="CI437" s="41"/>
      <c r="CJ437" s="41"/>
      <c r="CK437" s="41"/>
      <c r="CL437" s="41"/>
      <c r="CM437" s="41"/>
      <c r="CN437" s="41"/>
      <c r="CO437" s="41"/>
      <c r="CP437" s="41"/>
      <c r="CQ437" s="41"/>
      <c r="CR437" s="41"/>
      <c r="CS437" s="41"/>
      <c r="CT437" s="41"/>
      <c r="CU437" s="41"/>
      <c r="CV437" s="41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  <c r="DG437" s="41"/>
      <c r="DH437" s="41"/>
      <c r="DI437" s="41"/>
      <c r="DJ437" s="41"/>
      <c r="DK437" s="41"/>
      <c r="DL437" s="41"/>
      <c r="DM437" s="41"/>
      <c r="DN437" s="41"/>
      <c r="DO437" s="41"/>
      <c r="DP437" s="41"/>
      <c r="DQ437" s="41"/>
      <c r="DR437" s="41"/>
      <c r="DS437" s="41"/>
      <c r="DT437" s="41"/>
      <c r="DU437" s="41"/>
      <c r="DV437" s="41"/>
      <c r="DW437" s="41"/>
      <c r="DX437" s="41"/>
      <c r="DY437" s="41"/>
      <c r="DZ437" s="41"/>
      <c r="EA437" s="41"/>
      <c r="EB437" s="41"/>
      <c r="EC437" s="41"/>
      <c r="ED437" s="41"/>
      <c r="EE437" s="41"/>
      <c r="EF437" s="41"/>
      <c r="EG437" s="41"/>
      <c r="EH437" s="41"/>
      <c r="EI437" s="41"/>
      <c r="EJ437" s="41"/>
      <c r="EK437" s="41"/>
      <c r="EL437" s="41"/>
      <c r="EM437" s="41"/>
      <c r="EN437" s="41"/>
      <c r="EO437" s="41"/>
      <c r="EP437" s="41"/>
      <c r="EQ437" s="41"/>
      <c r="ER437" s="41"/>
      <c r="ES437" s="41"/>
      <c r="ET437" s="41"/>
      <c r="EU437" s="41"/>
      <c r="EV437" s="41"/>
      <c r="EW437" s="41"/>
      <c r="EX437" s="41"/>
      <c r="EY437" s="41"/>
      <c r="EZ437" s="41"/>
      <c r="FA437" s="41"/>
      <c r="FB437" s="41"/>
      <c r="FC437" s="41"/>
      <c r="FD437" s="41"/>
      <c r="FE437" s="41"/>
    </row>
    <row r="438" spans="1:161" x14ac:dyDescent="0.25">
      <c r="A438" s="41"/>
      <c r="AC438" s="41"/>
      <c r="AD438" s="41"/>
      <c r="AE438" s="41"/>
      <c r="AF438" s="41"/>
      <c r="AG438" s="41"/>
      <c r="AH438" s="41"/>
      <c r="AI438" s="41"/>
      <c r="AJ438" s="41"/>
      <c r="AK438" s="41"/>
      <c r="BI438" s="41"/>
      <c r="BT438" s="48"/>
      <c r="BU438" s="47"/>
      <c r="CG438" s="48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  <c r="EO438" s="41"/>
      <c r="EP438" s="41"/>
      <c r="EQ438" s="41"/>
      <c r="ER438" s="41"/>
      <c r="ES438" s="41"/>
      <c r="ET438" s="41"/>
      <c r="EU438" s="41"/>
      <c r="EV438" s="41"/>
      <c r="EW438" s="41"/>
      <c r="EX438" s="41"/>
      <c r="EY438" s="41"/>
      <c r="EZ438" s="41"/>
      <c r="FA438" s="41"/>
      <c r="FB438" s="41"/>
      <c r="FC438" s="41"/>
      <c r="FD438" s="41"/>
      <c r="FE438" s="41"/>
    </row>
    <row r="439" spans="1:161" x14ac:dyDescent="0.25">
      <c r="A439" s="41"/>
      <c r="AC439" s="41"/>
      <c r="AD439" s="41"/>
      <c r="AE439" s="41"/>
      <c r="AF439" s="41"/>
      <c r="AG439" s="41"/>
      <c r="AH439" s="41"/>
      <c r="AI439" s="41"/>
      <c r="AJ439" s="41"/>
      <c r="AK439" s="41"/>
      <c r="BI439" s="41"/>
      <c r="BT439" s="48"/>
      <c r="BU439" s="47"/>
      <c r="CG439" s="48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  <c r="EO439" s="41"/>
      <c r="EP439" s="41"/>
      <c r="EQ439" s="41"/>
      <c r="ER439" s="41"/>
      <c r="ES439" s="41"/>
      <c r="ET439" s="41"/>
      <c r="EU439" s="41"/>
      <c r="EV439" s="41"/>
      <c r="EW439" s="41"/>
      <c r="EX439" s="41"/>
      <c r="EY439" s="41"/>
      <c r="EZ439" s="41"/>
      <c r="FA439" s="41"/>
      <c r="FB439" s="41"/>
      <c r="FC439" s="41"/>
      <c r="FD439" s="41"/>
      <c r="FE439" s="41"/>
    </row>
    <row r="440" spans="1:161" x14ac:dyDescent="0.25">
      <c r="A440" s="41"/>
      <c r="AC440" s="41"/>
      <c r="AD440" s="41"/>
      <c r="AE440" s="41"/>
      <c r="AF440" s="41"/>
      <c r="AG440" s="41"/>
      <c r="AH440" s="41"/>
      <c r="AI440" s="41"/>
      <c r="AJ440" s="41"/>
      <c r="AK440" s="41"/>
      <c r="BI440" s="41"/>
      <c r="BT440" s="48"/>
      <c r="BU440" s="47"/>
      <c r="CG440" s="48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  <c r="EO440" s="41"/>
      <c r="EP440" s="41"/>
      <c r="EQ440" s="41"/>
      <c r="ER440" s="41"/>
      <c r="ES440" s="41"/>
      <c r="ET440" s="41"/>
      <c r="EU440" s="41"/>
      <c r="EV440" s="41"/>
      <c r="EW440" s="41"/>
      <c r="EX440" s="41"/>
      <c r="EY440" s="41"/>
      <c r="EZ440" s="41"/>
      <c r="FA440" s="41"/>
      <c r="FB440" s="41"/>
      <c r="FC440" s="41"/>
      <c r="FD440" s="41"/>
      <c r="FE440" s="41"/>
    </row>
    <row r="441" spans="1:161" x14ac:dyDescent="0.25">
      <c r="A441" s="41"/>
      <c r="AC441" s="41"/>
      <c r="AD441" s="41"/>
      <c r="AE441" s="41"/>
      <c r="AF441" s="41"/>
      <c r="AG441" s="41"/>
      <c r="AH441" s="41"/>
      <c r="AI441" s="41"/>
      <c r="AJ441" s="41"/>
      <c r="AK441" s="41"/>
      <c r="BI441" s="41"/>
      <c r="BT441" s="48"/>
      <c r="BU441" s="47"/>
      <c r="CG441" s="48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  <c r="DG441" s="41"/>
      <c r="DH441" s="41"/>
      <c r="DI441" s="41"/>
      <c r="DJ441" s="41"/>
      <c r="DK441" s="41"/>
      <c r="DL441" s="41"/>
      <c r="DM441" s="41"/>
      <c r="DN441" s="41"/>
      <c r="DO441" s="41"/>
      <c r="DP441" s="41"/>
      <c r="DQ441" s="41"/>
      <c r="DR441" s="41"/>
      <c r="DS441" s="41"/>
      <c r="DT441" s="41"/>
      <c r="DU441" s="41"/>
      <c r="DV441" s="41"/>
      <c r="DW441" s="41"/>
      <c r="DX441" s="41"/>
      <c r="DY441" s="41"/>
      <c r="DZ441" s="41"/>
      <c r="EA441" s="41"/>
      <c r="EB441" s="41"/>
      <c r="EC441" s="41"/>
      <c r="ED441" s="41"/>
      <c r="EE441" s="41"/>
      <c r="EF441" s="41"/>
      <c r="EG441" s="41"/>
      <c r="EH441" s="41"/>
      <c r="EI441" s="41"/>
      <c r="EJ441" s="41"/>
      <c r="EK441" s="41"/>
      <c r="EL441" s="41"/>
      <c r="EM441" s="41"/>
      <c r="EN441" s="41"/>
      <c r="EO441" s="41"/>
      <c r="EP441" s="41"/>
      <c r="EQ441" s="41"/>
      <c r="ER441" s="41"/>
      <c r="ES441" s="41"/>
      <c r="ET441" s="41"/>
      <c r="EU441" s="41"/>
      <c r="EV441" s="41"/>
      <c r="EW441" s="41"/>
      <c r="EX441" s="41"/>
      <c r="EY441" s="41"/>
      <c r="EZ441" s="41"/>
      <c r="FA441" s="41"/>
      <c r="FB441" s="41"/>
      <c r="FC441" s="41"/>
      <c r="FD441" s="41"/>
      <c r="FE441" s="41"/>
    </row>
    <row r="442" spans="1:161" x14ac:dyDescent="0.25">
      <c r="A442" s="41"/>
      <c r="AC442" s="41"/>
      <c r="AD442" s="41"/>
      <c r="AE442" s="41"/>
      <c r="AF442" s="41"/>
      <c r="AG442" s="41"/>
      <c r="AH442" s="41"/>
      <c r="AI442" s="41"/>
      <c r="AJ442" s="41"/>
      <c r="AK442" s="41"/>
      <c r="BI442" s="41"/>
      <c r="BT442" s="48"/>
      <c r="BU442" s="47"/>
      <c r="CG442" s="48"/>
      <c r="CH442" s="41"/>
      <c r="CI442" s="41"/>
      <c r="CJ442" s="41"/>
      <c r="CK442" s="41"/>
      <c r="CL442" s="41"/>
      <c r="CM442" s="41"/>
      <c r="CN442" s="41"/>
      <c r="CO442" s="41"/>
      <c r="CP442" s="41"/>
      <c r="CQ442" s="41"/>
      <c r="CR442" s="41"/>
      <c r="CS442" s="41"/>
      <c r="CT442" s="41"/>
      <c r="CU442" s="41"/>
      <c r="CV442" s="41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  <c r="DG442" s="41"/>
      <c r="DH442" s="41"/>
      <c r="DI442" s="41"/>
      <c r="DJ442" s="41"/>
      <c r="DK442" s="41"/>
      <c r="DL442" s="41"/>
      <c r="DM442" s="41"/>
      <c r="DN442" s="41"/>
      <c r="DO442" s="41"/>
      <c r="DP442" s="41"/>
      <c r="DQ442" s="41"/>
      <c r="DR442" s="41"/>
      <c r="DS442" s="41"/>
      <c r="DT442" s="41"/>
      <c r="DU442" s="41"/>
      <c r="DV442" s="41"/>
      <c r="DW442" s="41"/>
      <c r="DX442" s="41"/>
      <c r="DY442" s="41"/>
      <c r="DZ442" s="41"/>
      <c r="EA442" s="41"/>
      <c r="EB442" s="41"/>
      <c r="EC442" s="41"/>
      <c r="ED442" s="41"/>
      <c r="EE442" s="41"/>
      <c r="EF442" s="41"/>
      <c r="EG442" s="41"/>
      <c r="EH442" s="41"/>
      <c r="EI442" s="41"/>
      <c r="EJ442" s="41"/>
      <c r="EK442" s="41"/>
      <c r="EL442" s="41"/>
      <c r="EM442" s="41"/>
      <c r="EN442" s="41"/>
      <c r="EO442" s="41"/>
      <c r="EP442" s="41"/>
      <c r="EQ442" s="41"/>
      <c r="ER442" s="41"/>
      <c r="ES442" s="41"/>
      <c r="ET442" s="41"/>
      <c r="EU442" s="41"/>
      <c r="EV442" s="41"/>
      <c r="EW442" s="41"/>
      <c r="EX442" s="41"/>
      <c r="EY442" s="41"/>
      <c r="EZ442" s="41"/>
      <c r="FA442" s="41"/>
      <c r="FB442" s="41"/>
      <c r="FC442" s="41"/>
      <c r="FD442" s="41"/>
      <c r="FE442" s="41"/>
    </row>
    <row r="443" spans="1:161" x14ac:dyDescent="0.25">
      <c r="A443" s="41"/>
      <c r="AC443" s="41"/>
      <c r="AD443" s="41"/>
      <c r="AE443" s="41"/>
      <c r="AF443" s="41"/>
      <c r="AG443" s="41"/>
      <c r="AH443" s="41"/>
      <c r="AI443" s="41"/>
      <c r="AJ443" s="41"/>
      <c r="AK443" s="41"/>
      <c r="BI443" s="41"/>
      <c r="BT443" s="48"/>
      <c r="BU443" s="47"/>
      <c r="CG443" s="48"/>
      <c r="CH443" s="41"/>
      <c r="CI443" s="41"/>
      <c r="CJ443" s="41"/>
      <c r="CK443" s="41"/>
      <c r="CL443" s="41"/>
      <c r="CM443" s="41"/>
      <c r="CN443" s="41"/>
      <c r="CO443" s="41"/>
      <c r="CP443" s="41"/>
      <c r="CQ443" s="41"/>
      <c r="CR443" s="41"/>
      <c r="CS443" s="41"/>
      <c r="CT443" s="41"/>
      <c r="CU443" s="41"/>
      <c r="CV443" s="41"/>
      <c r="CW443" s="41"/>
      <c r="CX443" s="41"/>
      <c r="CY443" s="41"/>
      <c r="CZ443" s="41"/>
      <c r="DA443" s="41"/>
      <c r="DB443" s="41"/>
      <c r="DC443" s="41"/>
      <c r="DD443" s="41"/>
      <c r="DE443" s="41"/>
      <c r="DF443" s="41"/>
      <c r="DG443" s="41"/>
      <c r="DH443" s="41"/>
      <c r="DI443" s="41"/>
      <c r="DJ443" s="41"/>
      <c r="DK443" s="41"/>
      <c r="DL443" s="41"/>
      <c r="DM443" s="41"/>
      <c r="DN443" s="41"/>
      <c r="DO443" s="41"/>
      <c r="DP443" s="41"/>
      <c r="DQ443" s="41"/>
      <c r="DR443" s="41"/>
      <c r="DS443" s="41"/>
      <c r="DT443" s="41"/>
      <c r="DU443" s="41"/>
      <c r="DV443" s="41"/>
      <c r="DW443" s="41"/>
      <c r="DX443" s="41"/>
      <c r="DY443" s="41"/>
      <c r="DZ443" s="41"/>
      <c r="EA443" s="41"/>
      <c r="EB443" s="41"/>
      <c r="EC443" s="41"/>
      <c r="ED443" s="41"/>
      <c r="EE443" s="41"/>
      <c r="EF443" s="41"/>
      <c r="EG443" s="41"/>
      <c r="EH443" s="41"/>
      <c r="EI443" s="41"/>
      <c r="EJ443" s="41"/>
      <c r="EK443" s="41"/>
      <c r="EL443" s="41"/>
      <c r="EM443" s="41"/>
      <c r="EN443" s="41"/>
      <c r="EO443" s="41"/>
      <c r="EP443" s="41"/>
      <c r="EQ443" s="41"/>
      <c r="ER443" s="41"/>
      <c r="ES443" s="41"/>
      <c r="ET443" s="41"/>
      <c r="EU443" s="41"/>
      <c r="EV443" s="41"/>
      <c r="EW443" s="41"/>
      <c r="EX443" s="41"/>
      <c r="EY443" s="41"/>
      <c r="EZ443" s="41"/>
      <c r="FA443" s="41"/>
      <c r="FB443" s="41"/>
      <c r="FC443" s="41"/>
      <c r="FD443" s="41"/>
      <c r="FE443" s="41"/>
    </row>
    <row r="444" spans="1:161" x14ac:dyDescent="0.25">
      <c r="A444" s="41"/>
      <c r="AC444" s="41"/>
      <c r="AD444" s="41"/>
      <c r="AE444" s="41"/>
      <c r="AF444" s="41"/>
      <c r="AG444" s="41"/>
      <c r="AH444" s="41"/>
      <c r="AI444" s="41"/>
      <c r="AJ444" s="41"/>
      <c r="AK444" s="41"/>
      <c r="BI444" s="41"/>
      <c r="BT444" s="48"/>
      <c r="BU444" s="47"/>
      <c r="CG444" s="48"/>
      <c r="CH444" s="41"/>
      <c r="CI444" s="41"/>
      <c r="CJ444" s="41"/>
      <c r="CK444" s="41"/>
      <c r="CL444" s="41"/>
      <c r="CM444" s="41"/>
      <c r="CN444" s="41"/>
      <c r="CO444" s="41"/>
      <c r="CP444" s="41"/>
      <c r="CQ444" s="41"/>
      <c r="CR444" s="41"/>
      <c r="CS444" s="41"/>
      <c r="CT444" s="41"/>
      <c r="CU444" s="41"/>
      <c r="CV444" s="41"/>
      <c r="CW444" s="41"/>
      <c r="CX444" s="41"/>
      <c r="CY444" s="41"/>
      <c r="CZ444" s="41"/>
      <c r="DA444" s="41"/>
      <c r="DB444" s="41"/>
      <c r="DC444" s="41"/>
      <c r="DD444" s="41"/>
      <c r="DE444" s="41"/>
      <c r="DF444" s="41"/>
      <c r="DG444" s="41"/>
      <c r="DH444" s="41"/>
      <c r="DI444" s="41"/>
      <c r="DJ444" s="41"/>
      <c r="DK444" s="41"/>
      <c r="DL444" s="41"/>
      <c r="DM444" s="41"/>
      <c r="DN444" s="41"/>
      <c r="DO444" s="41"/>
      <c r="DP444" s="41"/>
      <c r="DQ444" s="41"/>
      <c r="DR444" s="41"/>
      <c r="DS444" s="41"/>
      <c r="DT444" s="41"/>
      <c r="DU444" s="41"/>
      <c r="DV444" s="41"/>
      <c r="DW444" s="41"/>
      <c r="DX444" s="41"/>
      <c r="DY444" s="41"/>
      <c r="DZ444" s="41"/>
      <c r="EA444" s="41"/>
      <c r="EB444" s="41"/>
      <c r="EC444" s="41"/>
      <c r="ED444" s="41"/>
      <c r="EE444" s="41"/>
      <c r="EF444" s="41"/>
      <c r="EG444" s="41"/>
      <c r="EH444" s="41"/>
      <c r="EI444" s="41"/>
      <c r="EJ444" s="41"/>
      <c r="EK444" s="41"/>
      <c r="EL444" s="41"/>
      <c r="EM444" s="41"/>
      <c r="EN444" s="41"/>
      <c r="EO444" s="41"/>
      <c r="EP444" s="41"/>
      <c r="EQ444" s="41"/>
      <c r="ER444" s="41"/>
      <c r="ES444" s="41"/>
      <c r="ET444" s="41"/>
      <c r="EU444" s="41"/>
      <c r="EV444" s="41"/>
      <c r="EW444" s="41"/>
      <c r="EX444" s="41"/>
      <c r="EY444" s="41"/>
      <c r="EZ444" s="41"/>
      <c r="FA444" s="41"/>
      <c r="FB444" s="41"/>
      <c r="FC444" s="41"/>
      <c r="FD444" s="41"/>
      <c r="FE444" s="41"/>
    </row>
    <row r="445" spans="1:161" x14ac:dyDescent="0.25">
      <c r="A445" s="41"/>
      <c r="AC445" s="41"/>
      <c r="AD445" s="41"/>
      <c r="AE445" s="41"/>
      <c r="AF445" s="41"/>
      <c r="AG445" s="41"/>
      <c r="AH445" s="41"/>
      <c r="AI445" s="41"/>
      <c r="AJ445" s="41"/>
      <c r="AK445" s="41"/>
      <c r="BI445" s="41"/>
      <c r="BT445" s="48"/>
      <c r="BU445" s="47"/>
      <c r="CG445" s="48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  <c r="DG445" s="41"/>
      <c r="DH445" s="41"/>
      <c r="DI445" s="41"/>
      <c r="DJ445" s="41"/>
      <c r="DK445" s="41"/>
      <c r="DL445" s="41"/>
      <c r="DM445" s="41"/>
      <c r="DN445" s="41"/>
      <c r="DO445" s="41"/>
      <c r="DP445" s="41"/>
      <c r="DQ445" s="41"/>
      <c r="DR445" s="41"/>
      <c r="DS445" s="41"/>
      <c r="DT445" s="41"/>
      <c r="DU445" s="41"/>
      <c r="DV445" s="41"/>
      <c r="DW445" s="41"/>
      <c r="DX445" s="41"/>
      <c r="DY445" s="41"/>
      <c r="DZ445" s="41"/>
      <c r="EA445" s="41"/>
      <c r="EB445" s="41"/>
      <c r="EC445" s="41"/>
      <c r="ED445" s="41"/>
      <c r="EE445" s="41"/>
      <c r="EF445" s="41"/>
      <c r="EG445" s="41"/>
      <c r="EH445" s="41"/>
      <c r="EI445" s="41"/>
      <c r="EJ445" s="41"/>
      <c r="EK445" s="41"/>
      <c r="EL445" s="41"/>
      <c r="EM445" s="41"/>
      <c r="EN445" s="41"/>
      <c r="EO445" s="41"/>
      <c r="EP445" s="41"/>
      <c r="EQ445" s="41"/>
      <c r="ER445" s="41"/>
      <c r="ES445" s="41"/>
      <c r="ET445" s="41"/>
      <c r="EU445" s="41"/>
      <c r="EV445" s="41"/>
      <c r="EW445" s="41"/>
      <c r="EX445" s="41"/>
      <c r="EY445" s="41"/>
      <c r="EZ445" s="41"/>
      <c r="FA445" s="41"/>
      <c r="FB445" s="41"/>
      <c r="FC445" s="41"/>
      <c r="FD445" s="41"/>
      <c r="FE445" s="41"/>
    </row>
    <row r="446" spans="1:161" x14ac:dyDescent="0.25">
      <c r="A446" s="41"/>
      <c r="AC446" s="41"/>
      <c r="AD446" s="41"/>
      <c r="AE446" s="41"/>
      <c r="AF446" s="41"/>
      <c r="AG446" s="41"/>
      <c r="AH446" s="41"/>
      <c r="AI446" s="41"/>
      <c r="AJ446" s="41"/>
      <c r="AK446" s="41"/>
      <c r="BI446" s="41"/>
      <c r="BT446" s="48"/>
      <c r="BU446" s="47"/>
      <c r="CG446" s="48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  <c r="DG446" s="41"/>
      <c r="DH446" s="41"/>
      <c r="DI446" s="41"/>
      <c r="DJ446" s="41"/>
      <c r="DK446" s="41"/>
      <c r="DL446" s="41"/>
      <c r="DM446" s="41"/>
      <c r="DN446" s="41"/>
      <c r="DO446" s="41"/>
      <c r="DP446" s="41"/>
      <c r="DQ446" s="41"/>
      <c r="DR446" s="41"/>
      <c r="DS446" s="41"/>
      <c r="DT446" s="41"/>
      <c r="DU446" s="41"/>
      <c r="DV446" s="41"/>
      <c r="DW446" s="41"/>
      <c r="DX446" s="41"/>
      <c r="DY446" s="41"/>
      <c r="DZ446" s="41"/>
      <c r="EA446" s="41"/>
      <c r="EB446" s="41"/>
      <c r="EC446" s="41"/>
      <c r="ED446" s="41"/>
      <c r="EE446" s="41"/>
      <c r="EF446" s="41"/>
      <c r="EG446" s="41"/>
      <c r="EH446" s="41"/>
      <c r="EI446" s="41"/>
      <c r="EJ446" s="41"/>
      <c r="EK446" s="41"/>
      <c r="EL446" s="41"/>
      <c r="EM446" s="41"/>
      <c r="EN446" s="41"/>
      <c r="EO446" s="41"/>
      <c r="EP446" s="41"/>
      <c r="EQ446" s="41"/>
      <c r="ER446" s="41"/>
      <c r="ES446" s="41"/>
      <c r="ET446" s="41"/>
      <c r="EU446" s="41"/>
      <c r="EV446" s="41"/>
      <c r="EW446" s="41"/>
      <c r="EX446" s="41"/>
      <c r="EY446" s="41"/>
      <c r="EZ446" s="41"/>
      <c r="FA446" s="41"/>
      <c r="FB446" s="41"/>
      <c r="FC446" s="41"/>
      <c r="FD446" s="41"/>
      <c r="FE446" s="41"/>
    </row>
    <row r="447" spans="1:161" x14ac:dyDescent="0.25">
      <c r="A447" s="41"/>
      <c r="AC447" s="41"/>
      <c r="AD447" s="41"/>
      <c r="AE447" s="41"/>
      <c r="AF447" s="41"/>
      <c r="AG447" s="41"/>
      <c r="AH447" s="41"/>
      <c r="AI447" s="41"/>
      <c r="AJ447" s="41"/>
      <c r="AK447" s="41"/>
      <c r="BI447" s="41"/>
      <c r="BT447" s="48"/>
      <c r="BU447" s="47"/>
      <c r="CG447" s="48"/>
      <c r="CH447" s="41"/>
      <c r="CI447" s="41"/>
      <c r="CJ447" s="41"/>
      <c r="CK447" s="41"/>
      <c r="CL447" s="41"/>
      <c r="CM447" s="41"/>
      <c r="CN447" s="41"/>
      <c r="CO447" s="41"/>
      <c r="CP447" s="41"/>
      <c r="CQ447" s="41"/>
      <c r="CR447" s="41"/>
      <c r="CS447" s="41"/>
      <c r="CT447" s="41"/>
      <c r="CU447" s="41"/>
      <c r="CV447" s="41"/>
      <c r="CW447" s="41"/>
      <c r="CX447" s="41"/>
      <c r="CY447" s="41"/>
      <c r="CZ447" s="41"/>
      <c r="DA447" s="41"/>
      <c r="DB447" s="41"/>
      <c r="DC447" s="41"/>
      <c r="DD447" s="41"/>
      <c r="DE447" s="41"/>
      <c r="DF447" s="41"/>
      <c r="DG447" s="41"/>
      <c r="DH447" s="41"/>
      <c r="DI447" s="41"/>
      <c r="DJ447" s="41"/>
      <c r="DK447" s="41"/>
      <c r="DL447" s="41"/>
      <c r="DM447" s="41"/>
      <c r="DN447" s="41"/>
      <c r="DO447" s="41"/>
      <c r="DP447" s="41"/>
      <c r="DQ447" s="41"/>
      <c r="DR447" s="41"/>
      <c r="DS447" s="41"/>
      <c r="DT447" s="41"/>
      <c r="DU447" s="41"/>
      <c r="DV447" s="41"/>
      <c r="DW447" s="41"/>
      <c r="DX447" s="41"/>
      <c r="DY447" s="41"/>
      <c r="DZ447" s="41"/>
      <c r="EA447" s="41"/>
      <c r="EB447" s="41"/>
      <c r="EC447" s="41"/>
      <c r="ED447" s="41"/>
      <c r="EE447" s="41"/>
      <c r="EF447" s="41"/>
      <c r="EG447" s="41"/>
      <c r="EH447" s="41"/>
      <c r="EI447" s="41"/>
      <c r="EJ447" s="41"/>
      <c r="EK447" s="41"/>
      <c r="EL447" s="41"/>
      <c r="EM447" s="41"/>
      <c r="EN447" s="41"/>
      <c r="EO447" s="41"/>
      <c r="EP447" s="41"/>
      <c r="EQ447" s="41"/>
      <c r="ER447" s="41"/>
      <c r="ES447" s="41"/>
      <c r="ET447" s="41"/>
      <c r="EU447" s="41"/>
      <c r="EV447" s="41"/>
      <c r="EW447" s="41"/>
      <c r="EX447" s="41"/>
      <c r="EY447" s="41"/>
      <c r="EZ447" s="41"/>
      <c r="FA447" s="41"/>
      <c r="FB447" s="41"/>
      <c r="FC447" s="41"/>
      <c r="FD447" s="41"/>
      <c r="FE447" s="41"/>
    </row>
    <row r="448" spans="1:161" x14ac:dyDescent="0.25">
      <c r="A448" s="41"/>
      <c r="AC448" s="41"/>
      <c r="AD448" s="41"/>
      <c r="AE448" s="41"/>
      <c r="AF448" s="41"/>
      <c r="AG448" s="41"/>
      <c r="AH448" s="41"/>
      <c r="AI448" s="41"/>
      <c r="AJ448" s="41"/>
      <c r="AK448" s="41"/>
      <c r="BI448" s="41"/>
      <c r="BT448" s="48"/>
      <c r="BU448" s="47"/>
      <c r="CG448" s="48"/>
      <c r="CH448" s="41"/>
      <c r="CI448" s="41"/>
      <c r="CJ448" s="41"/>
      <c r="CK448" s="41"/>
      <c r="CL448" s="41"/>
      <c r="CM448" s="41"/>
      <c r="CN448" s="41"/>
      <c r="CO448" s="41"/>
      <c r="CP448" s="41"/>
      <c r="CQ448" s="41"/>
      <c r="CR448" s="41"/>
      <c r="CS448" s="41"/>
      <c r="CT448" s="41"/>
      <c r="CU448" s="41"/>
      <c r="CV448" s="41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  <c r="DG448" s="41"/>
      <c r="DH448" s="41"/>
      <c r="DI448" s="41"/>
      <c r="DJ448" s="41"/>
      <c r="DK448" s="41"/>
      <c r="DL448" s="41"/>
      <c r="DM448" s="41"/>
      <c r="DN448" s="41"/>
      <c r="DO448" s="41"/>
      <c r="DP448" s="41"/>
      <c r="DQ448" s="41"/>
      <c r="DR448" s="41"/>
      <c r="DS448" s="41"/>
      <c r="DT448" s="41"/>
      <c r="DU448" s="41"/>
      <c r="DV448" s="41"/>
      <c r="DW448" s="41"/>
      <c r="DX448" s="41"/>
      <c r="DY448" s="41"/>
      <c r="DZ448" s="41"/>
      <c r="EA448" s="41"/>
      <c r="EB448" s="41"/>
      <c r="EC448" s="41"/>
      <c r="ED448" s="41"/>
      <c r="EE448" s="41"/>
      <c r="EF448" s="41"/>
      <c r="EG448" s="41"/>
      <c r="EH448" s="41"/>
      <c r="EI448" s="41"/>
      <c r="EJ448" s="41"/>
      <c r="EK448" s="41"/>
      <c r="EL448" s="41"/>
      <c r="EM448" s="41"/>
      <c r="EN448" s="41"/>
      <c r="EO448" s="41"/>
      <c r="EP448" s="41"/>
      <c r="EQ448" s="41"/>
      <c r="ER448" s="41"/>
      <c r="ES448" s="41"/>
      <c r="ET448" s="41"/>
      <c r="EU448" s="41"/>
      <c r="EV448" s="41"/>
      <c r="EW448" s="41"/>
      <c r="EX448" s="41"/>
      <c r="EY448" s="41"/>
      <c r="EZ448" s="41"/>
      <c r="FA448" s="41"/>
      <c r="FB448" s="41"/>
      <c r="FC448" s="41"/>
      <c r="FD448" s="41"/>
      <c r="FE448" s="41"/>
    </row>
    <row r="449" spans="1:161" x14ac:dyDescent="0.25">
      <c r="A449" s="41"/>
      <c r="AC449" s="41"/>
      <c r="AD449" s="41"/>
      <c r="AE449" s="41"/>
      <c r="AF449" s="41"/>
      <c r="AG449" s="41"/>
      <c r="AH449" s="41"/>
      <c r="AI449" s="41"/>
      <c r="AJ449" s="41"/>
      <c r="AK449" s="41"/>
      <c r="BI449" s="41"/>
      <c r="BT449" s="48"/>
      <c r="BU449" s="47"/>
      <c r="CG449" s="48"/>
      <c r="CH449" s="41"/>
      <c r="CI449" s="41"/>
      <c r="CJ449" s="41"/>
      <c r="CK449" s="41"/>
      <c r="CL449" s="41"/>
      <c r="CM449" s="41"/>
      <c r="CN449" s="41"/>
      <c r="CO449" s="41"/>
      <c r="CP449" s="41"/>
      <c r="CQ449" s="41"/>
      <c r="CR449" s="41"/>
      <c r="CS449" s="41"/>
      <c r="CT449" s="41"/>
      <c r="CU449" s="41"/>
      <c r="CV449" s="41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  <c r="DG449" s="41"/>
      <c r="DH449" s="41"/>
      <c r="DI449" s="41"/>
      <c r="DJ449" s="41"/>
      <c r="DK449" s="41"/>
      <c r="DL449" s="41"/>
      <c r="DM449" s="41"/>
      <c r="DN449" s="41"/>
      <c r="DO449" s="41"/>
      <c r="DP449" s="41"/>
      <c r="DQ449" s="41"/>
      <c r="DR449" s="41"/>
      <c r="DS449" s="41"/>
      <c r="DT449" s="41"/>
      <c r="DU449" s="41"/>
      <c r="DV449" s="41"/>
      <c r="DW449" s="41"/>
      <c r="DX449" s="41"/>
      <c r="DY449" s="41"/>
      <c r="DZ449" s="41"/>
      <c r="EA449" s="41"/>
      <c r="EB449" s="41"/>
      <c r="EC449" s="41"/>
      <c r="ED449" s="41"/>
      <c r="EE449" s="41"/>
      <c r="EF449" s="41"/>
      <c r="EG449" s="41"/>
      <c r="EH449" s="41"/>
      <c r="EI449" s="41"/>
      <c r="EJ449" s="41"/>
      <c r="EK449" s="41"/>
      <c r="EL449" s="41"/>
      <c r="EM449" s="41"/>
      <c r="EN449" s="41"/>
      <c r="EO449" s="41"/>
      <c r="EP449" s="41"/>
      <c r="EQ449" s="41"/>
      <c r="ER449" s="41"/>
      <c r="ES449" s="41"/>
      <c r="ET449" s="41"/>
      <c r="EU449" s="41"/>
      <c r="EV449" s="41"/>
      <c r="EW449" s="41"/>
      <c r="EX449" s="41"/>
      <c r="EY449" s="41"/>
      <c r="EZ449" s="41"/>
      <c r="FA449" s="41"/>
      <c r="FB449" s="41"/>
      <c r="FC449" s="41"/>
      <c r="FD449" s="41"/>
      <c r="FE449" s="41"/>
    </row>
    <row r="450" spans="1:161" x14ac:dyDescent="0.25">
      <c r="A450" s="41"/>
      <c r="AC450" s="41"/>
      <c r="AD450" s="41"/>
      <c r="AE450" s="41"/>
      <c r="AF450" s="41"/>
      <c r="AG450" s="41"/>
      <c r="AH450" s="41"/>
      <c r="AI450" s="41"/>
      <c r="AJ450" s="41"/>
      <c r="AK450" s="41"/>
      <c r="BI450" s="41"/>
      <c r="BT450" s="48"/>
      <c r="BU450" s="47"/>
      <c r="CG450" s="48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  <c r="DG450" s="41"/>
      <c r="DH450" s="41"/>
      <c r="DI450" s="41"/>
      <c r="DJ450" s="41"/>
      <c r="DK450" s="41"/>
      <c r="DL450" s="41"/>
      <c r="DM450" s="41"/>
      <c r="DN450" s="41"/>
      <c r="DO450" s="41"/>
      <c r="DP450" s="41"/>
      <c r="DQ450" s="41"/>
      <c r="DR450" s="41"/>
      <c r="DS450" s="41"/>
      <c r="DT450" s="41"/>
      <c r="DU450" s="41"/>
      <c r="DV450" s="41"/>
      <c r="DW450" s="41"/>
      <c r="DX450" s="41"/>
      <c r="DY450" s="41"/>
      <c r="DZ450" s="41"/>
      <c r="EA450" s="41"/>
      <c r="EB450" s="41"/>
      <c r="EC450" s="41"/>
      <c r="ED450" s="41"/>
      <c r="EE450" s="41"/>
      <c r="EF450" s="41"/>
      <c r="EG450" s="41"/>
      <c r="EH450" s="41"/>
      <c r="EI450" s="41"/>
      <c r="EJ450" s="41"/>
      <c r="EK450" s="41"/>
      <c r="EL450" s="41"/>
      <c r="EM450" s="41"/>
      <c r="EN450" s="41"/>
      <c r="EO450" s="41"/>
      <c r="EP450" s="41"/>
      <c r="EQ450" s="41"/>
      <c r="ER450" s="41"/>
      <c r="ES450" s="41"/>
      <c r="ET450" s="41"/>
      <c r="EU450" s="41"/>
      <c r="EV450" s="41"/>
      <c r="EW450" s="41"/>
      <c r="EX450" s="41"/>
      <c r="EY450" s="41"/>
      <c r="EZ450" s="41"/>
      <c r="FA450" s="41"/>
      <c r="FB450" s="41"/>
      <c r="FC450" s="41"/>
      <c r="FD450" s="41"/>
      <c r="FE450" s="41"/>
    </row>
    <row r="451" spans="1:161" x14ac:dyDescent="0.25">
      <c r="A451" s="41"/>
      <c r="AC451" s="41"/>
      <c r="AD451" s="41"/>
      <c r="AE451" s="41"/>
      <c r="AF451" s="41"/>
      <c r="AG451" s="41"/>
      <c r="AH451" s="41"/>
      <c r="AI451" s="41"/>
      <c r="AJ451" s="41"/>
      <c r="AK451" s="41"/>
      <c r="BI451" s="41"/>
      <c r="BT451" s="48"/>
      <c r="BU451" s="47"/>
      <c r="CG451" s="48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  <c r="DG451" s="41"/>
      <c r="DH451" s="41"/>
      <c r="DI451" s="41"/>
      <c r="DJ451" s="41"/>
      <c r="DK451" s="41"/>
      <c r="DL451" s="41"/>
      <c r="DM451" s="41"/>
      <c r="DN451" s="41"/>
      <c r="DO451" s="41"/>
      <c r="DP451" s="41"/>
      <c r="DQ451" s="41"/>
      <c r="DR451" s="41"/>
      <c r="DS451" s="41"/>
      <c r="DT451" s="41"/>
      <c r="DU451" s="41"/>
      <c r="DV451" s="41"/>
      <c r="DW451" s="41"/>
      <c r="DX451" s="41"/>
      <c r="DY451" s="41"/>
      <c r="DZ451" s="41"/>
      <c r="EA451" s="41"/>
      <c r="EB451" s="41"/>
      <c r="EC451" s="41"/>
      <c r="ED451" s="41"/>
      <c r="EE451" s="41"/>
      <c r="EF451" s="41"/>
      <c r="EG451" s="41"/>
      <c r="EH451" s="41"/>
      <c r="EI451" s="41"/>
      <c r="EJ451" s="41"/>
      <c r="EK451" s="41"/>
      <c r="EL451" s="41"/>
      <c r="EM451" s="41"/>
      <c r="EN451" s="41"/>
      <c r="EO451" s="41"/>
      <c r="EP451" s="41"/>
      <c r="EQ451" s="41"/>
      <c r="ER451" s="41"/>
      <c r="ES451" s="41"/>
      <c r="ET451" s="41"/>
      <c r="EU451" s="41"/>
      <c r="EV451" s="41"/>
      <c r="EW451" s="41"/>
      <c r="EX451" s="41"/>
      <c r="EY451" s="41"/>
      <c r="EZ451" s="41"/>
      <c r="FA451" s="41"/>
      <c r="FB451" s="41"/>
      <c r="FC451" s="41"/>
      <c r="FD451" s="41"/>
      <c r="FE451" s="41"/>
    </row>
    <row r="452" spans="1:161" x14ac:dyDescent="0.25">
      <c r="A452" s="41"/>
      <c r="AC452" s="41"/>
      <c r="AD452" s="41"/>
      <c r="AE452" s="41"/>
      <c r="AF452" s="41"/>
      <c r="AG452" s="41"/>
      <c r="AH452" s="41"/>
      <c r="AI452" s="41"/>
      <c r="AJ452" s="41"/>
      <c r="AK452" s="41"/>
      <c r="BI452" s="41"/>
      <c r="BT452" s="48"/>
      <c r="BU452" s="47"/>
      <c r="CG452" s="48"/>
      <c r="CH452" s="41"/>
      <c r="CI452" s="41"/>
      <c r="CJ452" s="41"/>
      <c r="CK452" s="41"/>
      <c r="CL452" s="41"/>
      <c r="CM452" s="41"/>
      <c r="CN452" s="41"/>
      <c r="CO452" s="41"/>
      <c r="CP452" s="41"/>
      <c r="CQ452" s="41"/>
      <c r="CR452" s="41"/>
      <c r="CS452" s="41"/>
      <c r="CT452" s="41"/>
      <c r="CU452" s="41"/>
      <c r="CV452" s="41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  <c r="DG452" s="41"/>
      <c r="DH452" s="41"/>
      <c r="DI452" s="41"/>
      <c r="DJ452" s="41"/>
      <c r="DK452" s="41"/>
      <c r="DL452" s="41"/>
      <c r="DM452" s="41"/>
      <c r="DN452" s="41"/>
      <c r="DO452" s="41"/>
      <c r="DP452" s="41"/>
      <c r="DQ452" s="41"/>
      <c r="DR452" s="41"/>
      <c r="DS452" s="41"/>
      <c r="DT452" s="41"/>
      <c r="DU452" s="41"/>
      <c r="DV452" s="41"/>
      <c r="DW452" s="41"/>
      <c r="DX452" s="41"/>
      <c r="DY452" s="41"/>
      <c r="DZ452" s="41"/>
      <c r="EA452" s="41"/>
      <c r="EB452" s="41"/>
      <c r="EC452" s="41"/>
      <c r="ED452" s="41"/>
      <c r="EE452" s="41"/>
      <c r="EF452" s="41"/>
      <c r="EG452" s="41"/>
      <c r="EH452" s="41"/>
      <c r="EI452" s="41"/>
      <c r="EJ452" s="41"/>
      <c r="EK452" s="41"/>
      <c r="EL452" s="41"/>
      <c r="EM452" s="41"/>
      <c r="EN452" s="41"/>
      <c r="EO452" s="41"/>
      <c r="EP452" s="41"/>
      <c r="EQ452" s="41"/>
      <c r="ER452" s="41"/>
      <c r="ES452" s="41"/>
      <c r="ET452" s="41"/>
      <c r="EU452" s="41"/>
      <c r="EV452" s="41"/>
      <c r="EW452" s="41"/>
      <c r="EX452" s="41"/>
      <c r="EY452" s="41"/>
      <c r="EZ452" s="41"/>
      <c r="FA452" s="41"/>
      <c r="FB452" s="41"/>
      <c r="FC452" s="41"/>
      <c r="FD452" s="41"/>
      <c r="FE452" s="41"/>
    </row>
    <row r="453" spans="1:161" x14ac:dyDescent="0.25">
      <c r="A453" s="41"/>
      <c r="AC453" s="41"/>
      <c r="AD453" s="41"/>
      <c r="AE453" s="41"/>
      <c r="AF453" s="41"/>
      <c r="AG453" s="41"/>
      <c r="AH453" s="41"/>
      <c r="AI453" s="41"/>
      <c r="AJ453" s="41"/>
      <c r="AK453" s="41"/>
      <c r="BI453" s="41"/>
      <c r="BT453" s="48"/>
      <c r="BU453" s="47"/>
      <c r="CG453" s="48"/>
      <c r="CH453" s="41"/>
      <c r="CI453" s="41"/>
      <c r="CJ453" s="41"/>
      <c r="CK453" s="41"/>
      <c r="CL453" s="41"/>
      <c r="CM453" s="41"/>
      <c r="CN453" s="41"/>
      <c r="CO453" s="41"/>
      <c r="CP453" s="41"/>
      <c r="CQ453" s="41"/>
      <c r="CR453" s="41"/>
      <c r="CS453" s="41"/>
      <c r="CT453" s="41"/>
      <c r="CU453" s="41"/>
      <c r="CV453" s="41"/>
      <c r="CW453" s="41"/>
      <c r="CX453" s="41"/>
      <c r="CY453" s="41"/>
      <c r="CZ453" s="41"/>
      <c r="DA453" s="41"/>
      <c r="DB453" s="41"/>
      <c r="DC453" s="41"/>
      <c r="DD453" s="41"/>
      <c r="DE453" s="41"/>
      <c r="DF453" s="41"/>
      <c r="DG453" s="41"/>
      <c r="DH453" s="41"/>
      <c r="DI453" s="41"/>
      <c r="DJ453" s="41"/>
      <c r="DK453" s="41"/>
      <c r="DL453" s="41"/>
      <c r="DM453" s="41"/>
      <c r="DN453" s="41"/>
      <c r="DO453" s="41"/>
      <c r="DP453" s="41"/>
      <c r="DQ453" s="41"/>
      <c r="DR453" s="41"/>
      <c r="DS453" s="41"/>
      <c r="DT453" s="41"/>
      <c r="DU453" s="41"/>
      <c r="DV453" s="41"/>
      <c r="DW453" s="41"/>
      <c r="DX453" s="41"/>
      <c r="DY453" s="41"/>
      <c r="DZ453" s="41"/>
      <c r="EA453" s="41"/>
      <c r="EB453" s="41"/>
      <c r="EC453" s="41"/>
      <c r="ED453" s="41"/>
      <c r="EE453" s="41"/>
      <c r="EF453" s="41"/>
      <c r="EG453" s="41"/>
      <c r="EH453" s="41"/>
      <c r="EI453" s="41"/>
      <c r="EJ453" s="41"/>
      <c r="EK453" s="41"/>
      <c r="EL453" s="41"/>
      <c r="EM453" s="41"/>
      <c r="EN453" s="41"/>
      <c r="EO453" s="41"/>
      <c r="EP453" s="41"/>
      <c r="EQ453" s="41"/>
      <c r="ER453" s="41"/>
      <c r="ES453" s="41"/>
      <c r="ET453" s="41"/>
      <c r="EU453" s="41"/>
      <c r="EV453" s="41"/>
      <c r="EW453" s="41"/>
      <c r="EX453" s="41"/>
      <c r="EY453" s="41"/>
      <c r="EZ453" s="41"/>
      <c r="FA453" s="41"/>
      <c r="FB453" s="41"/>
      <c r="FC453" s="41"/>
      <c r="FD453" s="41"/>
      <c r="FE453" s="41"/>
    </row>
    <row r="454" spans="1:161" x14ac:dyDescent="0.25">
      <c r="A454" s="41"/>
      <c r="AC454" s="41"/>
      <c r="AD454" s="41"/>
      <c r="AE454" s="41"/>
      <c r="AF454" s="41"/>
      <c r="AG454" s="41"/>
      <c r="AH454" s="41"/>
      <c r="AI454" s="41"/>
      <c r="AJ454" s="41"/>
      <c r="AK454" s="41"/>
      <c r="BI454" s="41"/>
      <c r="BT454" s="48"/>
      <c r="BU454" s="47"/>
      <c r="CG454" s="48"/>
      <c r="CH454" s="41"/>
      <c r="CI454" s="41"/>
      <c r="CJ454" s="41"/>
      <c r="CK454" s="41"/>
      <c r="CL454" s="41"/>
      <c r="CM454" s="41"/>
      <c r="CN454" s="41"/>
      <c r="CO454" s="41"/>
      <c r="CP454" s="41"/>
      <c r="CQ454" s="41"/>
      <c r="CR454" s="41"/>
      <c r="CS454" s="41"/>
      <c r="CT454" s="41"/>
      <c r="CU454" s="41"/>
      <c r="CV454" s="41"/>
      <c r="CW454" s="41"/>
      <c r="CX454" s="41"/>
      <c r="CY454" s="41"/>
      <c r="CZ454" s="41"/>
      <c r="DA454" s="41"/>
      <c r="DB454" s="41"/>
      <c r="DC454" s="41"/>
      <c r="DD454" s="41"/>
      <c r="DE454" s="41"/>
      <c r="DF454" s="41"/>
      <c r="DG454" s="41"/>
      <c r="DH454" s="41"/>
      <c r="DI454" s="41"/>
      <c r="DJ454" s="41"/>
      <c r="DK454" s="41"/>
      <c r="DL454" s="41"/>
      <c r="DM454" s="41"/>
      <c r="DN454" s="41"/>
      <c r="DO454" s="41"/>
      <c r="DP454" s="41"/>
      <c r="DQ454" s="41"/>
      <c r="DR454" s="41"/>
      <c r="DS454" s="41"/>
      <c r="DT454" s="41"/>
      <c r="DU454" s="41"/>
      <c r="DV454" s="41"/>
      <c r="DW454" s="41"/>
      <c r="DX454" s="41"/>
      <c r="DY454" s="41"/>
      <c r="DZ454" s="41"/>
      <c r="EA454" s="41"/>
      <c r="EB454" s="41"/>
      <c r="EC454" s="41"/>
      <c r="ED454" s="41"/>
      <c r="EE454" s="41"/>
      <c r="EF454" s="41"/>
      <c r="EG454" s="41"/>
      <c r="EH454" s="41"/>
      <c r="EI454" s="41"/>
      <c r="EJ454" s="41"/>
      <c r="EK454" s="41"/>
      <c r="EL454" s="41"/>
      <c r="EM454" s="41"/>
      <c r="EN454" s="41"/>
      <c r="EO454" s="41"/>
      <c r="EP454" s="41"/>
      <c r="EQ454" s="41"/>
      <c r="ER454" s="41"/>
      <c r="ES454" s="41"/>
      <c r="ET454" s="41"/>
      <c r="EU454" s="41"/>
      <c r="EV454" s="41"/>
      <c r="EW454" s="41"/>
      <c r="EX454" s="41"/>
      <c r="EY454" s="41"/>
      <c r="EZ454" s="41"/>
      <c r="FA454" s="41"/>
      <c r="FB454" s="41"/>
      <c r="FC454" s="41"/>
      <c r="FD454" s="41"/>
      <c r="FE454" s="41"/>
    </row>
    <row r="455" spans="1:161" x14ac:dyDescent="0.25">
      <c r="A455" s="41"/>
      <c r="AC455" s="41"/>
      <c r="AD455" s="41"/>
      <c r="AE455" s="41"/>
      <c r="AF455" s="41"/>
      <c r="AG455" s="41"/>
      <c r="AH455" s="41"/>
      <c r="AI455" s="41"/>
      <c r="AJ455" s="41"/>
      <c r="AK455" s="41"/>
      <c r="BI455" s="41"/>
      <c r="BT455" s="48"/>
      <c r="BU455" s="47"/>
      <c r="CG455" s="48"/>
      <c r="CH455" s="41"/>
      <c r="CI455" s="41"/>
      <c r="CJ455" s="41"/>
      <c r="CK455" s="41"/>
      <c r="CL455" s="41"/>
      <c r="CM455" s="41"/>
      <c r="CN455" s="41"/>
      <c r="CO455" s="41"/>
      <c r="CP455" s="41"/>
      <c r="CQ455" s="41"/>
      <c r="CR455" s="41"/>
      <c r="CS455" s="41"/>
      <c r="CT455" s="41"/>
      <c r="CU455" s="41"/>
      <c r="CV455" s="41"/>
      <c r="CW455" s="41"/>
      <c r="CX455" s="41"/>
      <c r="CY455" s="41"/>
      <c r="CZ455" s="41"/>
      <c r="DA455" s="41"/>
      <c r="DB455" s="41"/>
      <c r="DC455" s="41"/>
      <c r="DD455" s="41"/>
      <c r="DE455" s="41"/>
      <c r="DF455" s="41"/>
      <c r="DG455" s="41"/>
      <c r="DH455" s="41"/>
      <c r="DI455" s="41"/>
      <c r="DJ455" s="41"/>
      <c r="DK455" s="41"/>
      <c r="DL455" s="41"/>
      <c r="DM455" s="41"/>
      <c r="DN455" s="41"/>
      <c r="DO455" s="41"/>
      <c r="DP455" s="41"/>
      <c r="DQ455" s="41"/>
      <c r="DR455" s="41"/>
      <c r="DS455" s="41"/>
      <c r="DT455" s="41"/>
      <c r="DU455" s="41"/>
      <c r="DV455" s="41"/>
      <c r="DW455" s="41"/>
      <c r="DX455" s="41"/>
      <c r="DY455" s="41"/>
      <c r="DZ455" s="41"/>
      <c r="EA455" s="41"/>
      <c r="EB455" s="41"/>
      <c r="EC455" s="41"/>
      <c r="ED455" s="41"/>
      <c r="EE455" s="41"/>
      <c r="EF455" s="41"/>
      <c r="EG455" s="41"/>
      <c r="EH455" s="41"/>
      <c r="EI455" s="41"/>
      <c r="EJ455" s="41"/>
      <c r="EK455" s="41"/>
      <c r="EL455" s="41"/>
      <c r="EM455" s="41"/>
      <c r="EN455" s="41"/>
      <c r="EO455" s="41"/>
      <c r="EP455" s="41"/>
      <c r="EQ455" s="41"/>
      <c r="ER455" s="41"/>
      <c r="ES455" s="41"/>
      <c r="ET455" s="41"/>
      <c r="EU455" s="41"/>
      <c r="EV455" s="41"/>
      <c r="EW455" s="41"/>
      <c r="EX455" s="41"/>
      <c r="EY455" s="41"/>
      <c r="EZ455" s="41"/>
      <c r="FA455" s="41"/>
      <c r="FB455" s="41"/>
      <c r="FC455" s="41"/>
      <c r="FD455" s="41"/>
      <c r="FE455" s="41"/>
    </row>
    <row r="456" spans="1:161" x14ac:dyDescent="0.25">
      <c r="A456" s="41"/>
      <c r="AC456" s="41"/>
      <c r="AD456" s="41"/>
      <c r="AE456" s="41"/>
      <c r="AF456" s="41"/>
      <c r="AG456" s="41"/>
      <c r="AH456" s="41"/>
      <c r="AI456" s="41"/>
      <c r="AJ456" s="41"/>
      <c r="AK456" s="41"/>
      <c r="BI456" s="41"/>
      <c r="BT456" s="48"/>
      <c r="BU456" s="47"/>
      <c r="CG456" s="48"/>
      <c r="CH456" s="41"/>
      <c r="CI456" s="41"/>
      <c r="CJ456" s="41"/>
      <c r="CK456" s="41"/>
      <c r="CL456" s="41"/>
      <c r="CM456" s="41"/>
      <c r="CN456" s="41"/>
      <c r="CO456" s="41"/>
      <c r="CP456" s="41"/>
      <c r="CQ456" s="41"/>
      <c r="CR456" s="41"/>
      <c r="CS456" s="41"/>
      <c r="CT456" s="41"/>
      <c r="CU456" s="41"/>
      <c r="CV456" s="41"/>
      <c r="CW456" s="41"/>
      <c r="CX456" s="41"/>
      <c r="CY456" s="41"/>
      <c r="CZ456" s="41"/>
      <c r="DA456" s="41"/>
      <c r="DB456" s="41"/>
      <c r="DC456" s="41"/>
      <c r="DD456" s="41"/>
      <c r="DE456" s="41"/>
      <c r="DF456" s="41"/>
      <c r="DG456" s="41"/>
      <c r="DH456" s="41"/>
      <c r="DI456" s="41"/>
      <c r="DJ456" s="41"/>
      <c r="DK456" s="41"/>
      <c r="DL456" s="41"/>
      <c r="DM456" s="41"/>
      <c r="DN456" s="41"/>
      <c r="DO456" s="41"/>
      <c r="DP456" s="41"/>
      <c r="DQ456" s="41"/>
      <c r="DR456" s="41"/>
      <c r="DS456" s="41"/>
      <c r="DT456" s="41"/>
      <c r="DU456" s="41"/>
      <c r="DV456" s="41"/>
      <c r="DW456" s="41"/>
      <c r="DX456" s="41"/>
      <c r="DY456" s="41"/>
      <c r="DZ456" s="41"/>
      <c r="EA456" s="41"/>
      <c r="EB456" s="41"/>
      <c r="EC456" s="41"/>
      <c r="ED456" s="41"/>
      <c r="EE456" s="41"/>
      <c r="EF456" s="41"/>
      <c r="EG456" s="41"/>
      <c r="EH456" s="41"/>
      <c r="EI456" s="41"/>
      <c r="EJ456" s="41"/>
      <c r="EK456" s="41"/>
      <c r="EL456" s="41"/>
      <c r="EM456" s="41"/>
      <c r="EN456" s="41"/>
      <c r="EO456" s="41"/>
      <c r="EP456" s="41"/>
      <c r="EQ456" s="41"/>
      <c r="ER456" s="41"/>
      <c r="ES456" s="41"/>
      <c r="ET456" s="41"/>
      <c r="EU456" s="41"/>
      <c r="EV456" s="41"/>
      <c r="EW456" s="41"/>
      <c r="EX456" s="41"/>
      <c r="EY456" s="41"/>
      <c r="EZ456" s="41"/>
      <c r="FA456" s="41"/>
      <c r="FB456" s="41"/>
      <c r="FC456" s="41"/>
      <c r="FD456" s="41"/>
      <c r="FE456" s="41"/>
    </row>
    <row r="457" spans="1:161" x14ac:dyDescent="0.25">
      <c r="A457" s="41"/>
      <c r="AC457" s="41"/>
      <c r="AD457" s="41"/>
      <c r="AE457" s="41"/>
      <c r="AF457" s="41"/>
      <c r="AG457" s="41"/>
      <c r="AH457" s="41"/>
      <c r="AI457" s="41"/>
      <c r="AJ457" s="41"/>
      <c r="AK457" s="41"/>
      <c r="BI457" s="41"/>
      <c r="BT457" s="48"/>
      <c r="BU457" s="47"/>
      <c r="CG457" s="48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  <c r="DG457" s="41"/>
      <c r="DH457" s="41"/>
      <c r="DI457" s="41"/>
      <c r="DJ457" s="41"/>
      <c r="DK457" s="41"/>
      <c r="DL457" s="41"/>
      <c r="DM457" s="41"/>
      <c r="DN457" s="41"/>
      <c r="DO457" s="41"/>
      <c r="DP457" s="41"/>
      <c r="DQ457" s="41"/>
      <c r="DR457" s="41"/>
      <c r="DS457" s="41"/>
      <c r="DT457" s="41"/>
      <c r="DU457" s="41"/>
      <c r="DV457" s="41"/>
      <c r="DW457" s="41"/>
      <c r="DX457" s="41"/>
      <c r="DY457" s="41"/>
      <c r="DZ457" s="41"/>
      <c r="EA457" s="41"/>
      <c r="EB457" s="41"/>
      <c r="EC457" s="41"/>
      <c r="ED457" s="41"/>
      <c r="EE457" s="41"/>
      <c r="EF457" s="41"/>
      <c r="EG457" s="41"/>
      <c r="EH457" s="41"/>
      <c r="EI457" s="41"/>
      <c r="EJ457" s="41"/>
      <c r="EK457" s="41"/>
      <c r="EL457" s="41"/>
      <c r="EM457" s="41"/>
      <c r="EN457" s="41"/>
      <c r="EO457" s="41"/>
      <c r="EP457" s="41"/>
      <c r="EQ457" s="41"/>
      <c r="ER457" s="41"/>
      <c r="ES457" s="41"/>
      <c r="ET457" s="41"/>
      <c r="EU457" s="41"/>
      <c r="EV457" s="41"/>
      <c r="EW457" s="41"/>
      <c r="EX457" s="41"/>
      <c r="EY457" s="41"/>
      <c r="EZ457" s="41"/>
      <c r="FA457" s="41"/>
      <c r="FB457" s="41"/>
      <c r="FC457" s="41"/>
      <c r="FD457" s="41"/>
      <c r="FE457" s="41"/>
    </row>
    <row r="458" spans="1:161" x14ac:dyDescent="0.25">
      <c r="A458" s="41"/>
      <c r="AC458" s="41"/>
      <c r="AD458" s="41"/>
      <c r="AE458" s="41"/>
      <c r="AF458" s="41"/>
      <c r="AG458" s="41"/>
      <c r="AH458" s="41"/>
      <c r="AI458" s="41"/>
      <c r="AJ458" s="41"/>
      <c r="AK458" s="41"/>
      <c r="BI458" s="41"/>
      <c r="BT458" s="48"/>
      <c r="BU458" s="47"/>
      <c r="CG458" s="48"/>
      <c r="CH458" s="41"/>
      <c r="CI458" s="41"/>
      <c r="CJ458" s="41"/>
      <c r="CK458" s="41"/>
      <c r="CL458" s="41"/>
      <c r="CM458" s="41"/>
      <c r="CN458" s="41"/>
      <c r="CO458" s="41"/>
      <c r="CP458" s="41"/>
      <c r="CQ458" s="41"/>
      <c r="CR458" s="41"/>
      <c r="CS458" s="41"/>
      <c r="CT458" s="41"/>
      <c r="CU458" s="41"/>
      <c r="CV458" s="41"/>
      <c r="CW458" s="41"/>
      <c r="CX458" s="41"/>
      <c r="CY458" s="41"/>
      <c r="CZ458" s="41"/>
      <c r="DA458" s="41"/>
      <c r="DB458" s="41"/>
      <c r="DC458" s="41"/>
      <c r="DD458" s="41"/>
      <c r="DE458" s="41"/>
      <c r="DF458" s="41"/>
      <c r="DG458" s="41"/>
      <c r="DH458" s="41"/>
      <c r="DI458" s="41"/>
      <c r="DJ458" s="41"/>
      <c r="DK458" s="41"/>
      <c r="DL458" s="41"/>
      <c r="DM458" s="41"/>
      <c r="DN458" s="41"/>
      <c r="DO458" s="41"/>
      <c r="DP458" s="41"/>
      <c r="DQ458" s="41"/>
      <c r="DR458" s="41"/>
      <c r="DS458" s="41"/>
      <c r="DT458" s="41"/>
      <c r="DU458" s="41"/>
      <c r="DV458" s="41"/>
      <c r="DW458" s="41"/>
      <c r="DX458" s="41"/>
      <c r="DY458" s="41"/>
      <c r="DZ458" s="41"/>
      <c r="EA458" s="41"/>
      <c r="EB458" s="41"/>
      <c r="EC458" s="41"/>
      <c r="ED458" s="41"/>
      <c r="EE458" s="41"/>
      <c r="EF458" s="41"/>
      <c r="EG458" s="41"/>
      <c r="EH458" s="41"/>
      <c r="EI458" s="41"/>
      <c r="EJ458" s="41"/>
      <c r="EK458" s="41"/>
      <c r="EL458" s="41"/>
      <c r="EM458" s="41"/>
      <c r="EN458" s="41"/>
      <c r="EO458" s="41"/>
      <c r="EP458" s="41"/>
      <c r="EQ458" s="41"/>
      <c r="ER458" s="41"/>
      <c r="ES458" s="41"/>
      <c r="ET458" s="41"/>
      <c r="EU458" s="41"/>
      <c r="EV458" s="41"/>
      <c r="EW458" s="41"/>
      <c r="EX458" s="41"/>
      <c r="EY458" s="41"/>
      <c r="EZ458" s="41"/>
      <c r="FA458" s="41"/>
      <c r="FB458" s="41"/>
      <c r="FC458" s="41"/>
      <c r="FD458" s="41"/>
      <c r="FE458" s="41"/>
    </row>
    <row r="459" spans="1:161" x14ac:dyDescent="0.25">
      <c r="A459" s="41"/>
      <c r="AC459" s="41"/>
      <c r="AD459" s="41"/>
      <c r="AE459" s="41"/>
      <c r="AF459" s="41"/>
      <c r="AG459" s="41"/>
      <c r="AH459" s="41"/>
      <c r="AI459" s="41"/>
      <c r="AJ459" s="41"/>
      <c r="AK459" s="41"/>
      <c r="BI459" s="41"/>
      <c r="BT459" s="48"/>
      <c r="BU459" s="47"/>
      <c r="CG459" s="48"/>
      <c r="CH459" s="41"/>
      <c r="CI459" s="41"/>
      <c r="CJ459" s="41"/>
      <c r="CK459" s="41"/>
      <c r="CL459" s="41"/>
      <c r="CM459" s="41"/>
      <c r="CN459" s="41"/>
      <c r="CO459" s="41"/>
      <c r="CP459" s="41"/>
      <c r="CQ459" s="41"/>
      <c r="CR459" s="41"/>
      <c r="CS459" s="41"/>
      <c r="CT459" s="41"/>
      <c r="CU459" s="41"/>
      <c r="CV459" s="41"/>
      <c r="CW459" s="41"/>
      <c r="CX459" s="41"/>
      <c r="CY459" s="41"/>
      <c r="CZ459" s="41"/>
      <c r="DA459" s="41"/>
      <c r="DB459" s="41"/>
      <c r="DC459" s="41"/>
      <c r="DD459" s="41"/>
      <c r="DE459" s="41"/>
      <c r="DF459" s="41"/>
      <c r="DG459" s="41"/>
      <c r="DH459" s="41"/>
      <c r="DI459" s="41"/>
      <c r="DJ459" s="41"/>
      <c r="DK459" s="41"/>
      <c r="DL459" s="41"/>
      <c r="DM459" s="41"/>
      <c r="DN459" s="41"/>
      <c r="DO459" s="41"/>
      <c r="DP459" s="41"/>
      <c r="DQ459" s="41"/>
      <c r="DR459" s="41"/>
      <c r="DS459" s="41"/>
      <c r="DT459" s="41"/>
      <c r="DU459" s="41"/>
      <c r="DV459" s="41"/>
      <c r="DW459" s="41"/>
      <c r="DX459" s="41"/>
      <c r="DY459" s="41"/>
      <c r="DZ459" s="41"/>
      <c r="EA459" s="41"/>
      <c r="EB459" s="41"/>
      <c r="EC459" s="41"/>
      <c r="ED459" s="41"/>
      <c r="EE459" s="41"/>
      <c r="EF459" s="41"/>
      <c r="EG459" s="41"/>
      <c r="EH459" s="41"/>
      <c r="EI459" s="41"/>
      <c r="EJ459" s="41"/>
      <c r="EK459" s="41"/>
      <c r="EL459" s="41"/>
      <c r="EM459" s="41"/>
      <c r="EN459" s="41"/>
      <c r="EO459" s="41"/>
      <c r="EP459" s="41"/>
      <c r="EQ459" s="41"/>
      <c r="ER459" s="41"/>
      <c r="ES459" s="41"/>
      <c r="ET459" s="41"/>
      <c r="EU459" s="41"/>
      <c r="EV459" s="41"/>
      <c r="EW459" s="41"/>
      <c r="EX459" s="41"/>
      <c r="EY459" s="41"/>
      <c r="EZ459" s="41"/>
      <c r="FA459" s="41"/>
      <c r="FB459" s="41"/>
      <c r="FC459" s="41"/>
      <c r="FD459" s="41"/>
      <c r="FE459" s="41"/>
    </row>
    <row r="460" spans="1:161" x14ac:dyDescent="0.25">
      <c r="A460" s="41"/>
      <c r="AC460" s="41"/>
      <c r="AD460" s="41"/>
      <c r="AE460" s="41"/>
      <c r="AF460" s="41"/>
      <c r="AG460" s="41"/>
      <c r="AH460" s="41"/>
      <c r="AI460" s="41"/>
      <c r="AJ460" s="41"/>
      <c r="AK460" s="41"/>
      <c r="BI460" s="41"/>
      <c r="BT460" s="48"/>
      <c r="BU460" s="47"/>
      <c r="CG460" s="48"/>
      <c r="CH460" s="41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  <c r="DG460" s="41"/>
      <c r="DH460" s="41"/>
      <c r="DI460" s="41"/>
      <c r="DJ460" s="41"/>
      <c r="DK460" s="41"/>
      <c r="DL460" s="41"/>
      <c r="DM460" s="41"/>
      <c r="DN460" s="41"/>
      <c r="DO460" s="41"/>
      <c r="DP460" s="41"/>
      <c r="DQ460" s="41"/>
      <c r="DR460" s="41"/>
      <c r="DS460" s="41"/>
      <c r="DT460" s="41"/>
      <c r="DU460" s="41"/>
      <c r="DV460" s="41"/>
      <c r="DW460" s="41"/>
      <c r="DX460" s="41"/>
      <c r="DY460" s="41"/>
      <c r="DZ460" s="41"/>
      <c r="EA460" s="41"/>
      <c r="EB460" s="41"/>
      <c r="EC460" s="41"/>
      <c r="ED460" s="41"/>
      <c r="EE460" s="41"/>
      <c r="EF460" s="41"/>
      <c r="EG460" s="41"/>
      <c r="EH460" s="41"/>
      <c r="EI460" s="41"/>
      <c r="EJ460" s="41"/>
      <c r="EK460" s="41"/>
      <c r="EL460" s="41"/>
      <c r="EM460" s="41"/>
      <c r="EN460" s="41"/>
      <c r="EO460" s="41"/>
      <c r="EP460" s="41"/>
      <c r="EQ460" s="41"/>
      <c r="ER460" s="41"/>
      <c r="ES460" s="41"/>
      <c r="ET460" s="41"/>
      <c r="EU460" s="41"/>
      <c r="EV460" s="41"/>
      <c r="EW460" s="41"/>
      <c r="EX460" s="41"/>
      <c r="EY460" s="41"/>
      <c r="EZ460" s="41"/>
      <c r="FA460" s="41"/>
      <c r="FB460" s="41"/>
      <c r="FC460" s="41"/>
      <c r="FD460" s="41"/>
      <c r="FE460" s="41"/>
    </row>
    <row r="461" spans="1:161" x14ac:dyDescent="0.25">
      <c r="A461" s="41"/>
      <c r="AC461" s="41"/>
      <c r="AD461" s="41"/>
      <c r="AE461" s="41"/>
      <c r="AF461" s="41"/>
      <c r="AG461" s="41"/>
      <c r="AH461" s="41"/>
      <c r="AI461" s="41"/>
      <c r="AJ461" s="41"/>
      <c r="AK461" s="41"/>
      <c r="BI461" s="41"/>
      <c r="BT461" s="48"/>
      <c r="BU461" s="47"/>
      <c r="CG461" s="48"/>
      <c r="CH461" s="41"/>
      <c r="CI461" s="41"/>
      <c r="CJ461" s="41"/>
      <c r="CK461" s="41"/>
      <c r="CL461" s="41"/>
      <c r="CM461" s="41"/>
      <c r="CN461" s="41"/>
      <c r="CO461" s="41"/>
      <c r="CP461" s="41"/>
      <c r="CQ461" s="41"/>
      <c r="CR461" s="41"/>
      <c r="CS461" s="41"/>
      <c r="CT461" s="41"/>
      <c r="CU461" s="41"/>
      <c r="CV461" s="41"/>
      <c r="CW461" s="41"/>
      <c r="CX461" s="41"/>
      <c r="CY461" s="41"/>
      <c r="CZ461" s="41"/>
      <c r="DA461" s="41"/>
      <c r="DB461" s="41"/>
      <c r="DC461" s="41"/>
      <c r="DD461" s="41"/>
      <c r="DE461" s="41"/>
      <c r="DF461" s="41"/>
      <c r="DG461" s="41"/>
      <c r="DH461" s="41"/>
      <c r="DI461" s="41"/>
      <c r="DJ461" s="41"/>
      <c r="DK461" s="41"/>
      <c r="DL461" s="41"/>
      <c r="DM461" s="41"/>
      <c r="DN461" s="41"/>
      <c r="DO461" s="41"/>
      <c r="DP461" s="41"/>
      <c r="DQ461" s="41"/>
      <c r="DR461" s="41"/>
      <c r="DS461" s="41"/>
      <c r="DT461" s="41"/>
      <c r="DU461" s="41"/>
      <c r="DV461" s="41"/>
      <c r="DW461" s="41"/>
      <c r="DX461" s="41"/>
      <c r="DY461" s="41"/>
      <c r="DZ461" s="41"/>
      <c r="EA461" s="41"/>
      <c r="EB461" s="41"/>
      <c r="EC461" s="41"/>
      <c r="ED461" s="41"/>
      <c r="EE461" s="41"/>
      <c r="EF461" s="41"/>
      <c r="EG461" s="41"/>
      <c r="EH461" s="41"/>
      <c r="EI461" s="41"/>
      <c r="EJ461" s="41"/>
      <c r="EK461" s="41"/>
      <c r="EL461" s="41"/>
      <c r="EM461" s="41"/>
      <c r="EN461" s="41"/>
      <c r="EO461" s="41"/>
      <c r="EP461" s="41"/>
      <c r="EQ461" s="41"/>
      <c r="ER461" s="41"/>
      <c r="ES461" s="41"/>
      <c r="ET461" s="41"/>
      <c r="EU461" s="41"/>
      <c r="EV461" s="41"/>
      <c r="EW461" s="41"/>
      <c r="EX461" s="41"/>
      <c r="EY461" s="41"/>
      <c r="EZ461" s="41"/>
      <c r="FA461" s="41"/>
      <c r="FB461" s="41"/>
      <c r="FC461" s="41"/>
      <c r="FD461" s="41"/>
      <c r="FE461" s="41"/>
    </row>
    <row r="462" spans="1:161" x14ac:dyDescent="0.25">
      <c r="A462" s="41"/>
      <c r="AC462" s="41"/>
      <c r="AD462" s="41"/>
      <c r="AE462" s="41"/>
      <c r="AF462" s="41"/>
      <c r="AG462" s="41"/>
      <c r="AH462" s="41"/>
      <c r="AI462" s="41"/>
      <c r="AJ462" s="41"/>
      <c r="AK462" s="41"/>
      <c r="BI462" s="41"/>
      <c r="BT462" s="48"/>
      <c r="BU462" s="47"/>
      <c r="CG462" s="48"/>
      <c r="CH462" s="41"/>
      <c r="CI462" s="41"/>
      <c r="CJ462" s="41"/>
      <c r="CK462" s="41"/>
      <c r="CL462" s="41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  <c r="DG462" s="41"/>
      <c r="DH462" s="41"/>
      <c r="DI462" s="41"/>
      <c r="DJ462" s="41"/>
      <c r="DK462" s="41"/>
      <c r="DL462" s="41"/>
      <c r="DM462" s="41"/>
      <c r="DN462" s="41"/>
      <c r="DO462" s="41"/>
      <c r="DP462" s="41"/>
      <c r="DQ462" s="41"/>
      <c r="DR462" s="41"/>
      <c r="DS462" s="41"/>
      <c r="DT462" s="41"/>
      <c r="DU462" s="41"/>
      <c r="DV462" s="41"/>
      <c r="DW462" s="41"/>
      <c r="DX462" s="41"/>
      <c r="DY462" s="41"/>
      <c r="DZ462" s="41"/>
      <c r="EA462" s="41"/>
      <c r="EB462" s="41"/>
      <c r="EC462" s="41"/>
      <c r="ED462" s="41"/>
      <c r="EE462" s="41"/>
      <c r="EF462" s="41"/>
      <c r="EG462" s="41"/>
      <c r="EH462" s="41"/>
      <c r="EI462" s="41"/>
      <c r="EJ462" s="41"/>
      <c r="EK462" s="41"/>
      <c r="EL462" s="41"/>
      <c r="EM462" s="41"/>
      <c r="EN462" s="41"/>
      <c r="EO462" s="41"/>
      <c r="EP462" s="41"/>
      <c r="EQ462" s="41"/>
      <c r="ER462" s="41"/>
      <c r="ES462" s="41"/>
      <c r="ET462" s="41"/>
      <c r="EU462" s="41"/>
      <c r="EV462" s="41"/>
      <c r="EW462" s="41"/>
      <c r="EX462" s="41"/>
      <c r="EY462" s="41"/>
      <c r="EZ462" s="41"/>
      <c r="FA462" s="41"/>
      <c r="FB462" s="41"/>
      <c r="FC462" s="41"/>
      <c r="FD462" s="41"/>
      <c r="FE462" s="41"/>
    </row>
    <row r="463" spans="1:161" x14ac:dyDescent="0.25">
      <c r="A463" s="41"/>
      <c r="AC463" s="41"/>
      <c r="AD463" s="41"/>
      <c r="AE463" s="41"/>
      <c r="AF463" s="41"/>
      <c r="AG463" s="41"/>
      <c r="AH463" s="41"/>
      <c r="AI463" s="41"/>
      <c r="AJ463" s="41"/>
      <c r="AK463" s="41"/>
      <c r="BI463" s="41"/>
      <c r="BT463" s="48"/>
      <c r="BU463" s="47"/>
      <c r="CG463" s="48"/>
      <c r="CH463" s="41"/>
      <c r="CI463" s="41"/>
      <c r="CJ463" s="41"/>
      <c r="CK463" s="41"/>
      <c r="CL463" s="41"/>
      <c r="CM463" s="41"/>
      <c r="CN463" s="41"/>
      <c r="CO463" s="41"/>
      <c r="CP463" s="41"/>
      <c r="CQ463" s="41"/>
      <c r="CR463" s="41"/>
      <c r="CS463" s="41"/>
      <c r="CT463" s="41"/>
      <c r="CU463" s="41"/>
      <c r="CV463" s="41"/>
      <c r="CW463" s="41"/>
      <c r="CX463" s="41"/>
      <c r="CY463" s="41"/>
      <c r="CZ463" s="41"/>
      <c r="DA463" s="41"/>
      <c r="DB463" s="41"/>
      <c r="DC463" s="41"/>
      <c r="DD463" s="41"/>
      <c r="DE463" s="41"/>
      <c r="DF463" s="41"/>
      <c r="DG463" s="41"/>
      <c r="DH463" s="41"/>
      <c r="DI463" s="41"/>
      <c r="DJ463" s="41"/>
      <c r="DK463" s="41"/>
      <c r="DL463" s="41"/>
      <c r="DM463" s="41"/>
      <c r="DN463" s="41"/>
      <c r="DO463" s="41"/>
      <c r="DP463" s="41"/>
      <c r="DQ463" s="41"/>
      <c r="DR463" s="41"/>
      <c r="DS463" s="41"/>
      <c r="DT463" s="41"/>
      <c r="DU463" s="41"/>
      <c r="DV463" s="41"/>
      <c r="DW463" s="41"/>
      <c r="DX463" s="41"/>
      <c r="DY463" s="41"/>
      <c r="DZ463" s="41"/>
      <c r="EA463" s="41"/>
      <c r="EB463" s="41"/>
      <c r="EC463" s="41"/>
      <c r="ED463" s="41"/>
      <c r="EE463" s="41"/>
      <c r="EF463" s="41"/>
      <c r="EG463" s="41"/>
      <c r="EH463" s="41"/>
      <c r="EI463" s="41"/>
      <c r="EJ463" s="41"/>
      <c r="EK463" s="41"/>
      <c r="EL463" s="41"/>
      <c r="EM463" s="41"/>
      <c r="EN463" s="41"/>
      <c r="EO463" s="41"/>
      <c r="EP463" s="41"/>
      <c r="EQ463" s="41"/>
      <c r="ER463" s="41"/>
      <c r="ES463" s="41"/>
      <c r="ET463" s="41"/>
      <c r="EU463" s="41"/>
      <c r="EV463" s="41"/>
      <c r="EW463" s="41"/>
      <c r="EX463" s="41"/>
      <c r="EY463" s="41"/>
      <c r="EZ463" s="41"/>
      <c r="FA463" s="41"/>
      <c r="FB463" s="41"/>
      <c r="FC463" s="41"/>
      <c r="FD463" s="41"/>
      <c r="FE463" s="41"/>
    </row>
    <row r="464" spans="1:161" x14ac:dyDescent="0.25">
      <c r="A464" s="41"/>
      <c r="AC464" s="41"/>
      <c r="AD464" s="41"/>
      <c r="AE464" s="41"/>
      <c r="AF464" s="41"/>
      <c r="AG464" s="41"/>
      <c r="AH464" s="41"/>
      <c r="AI464" s="41"/>
      <c r="AJ464" s="41"/>
      <c r="AK464" s="41"/>
      <c r="BI464" s="41"/>
      <c r="BT464" s="48"/>
      <c r="BU464" s="47"/>
      <c r="CG464" s="48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  <c r="CR464" s="41"/>
      <c r="CS464" s="41"/>
      <c r="CT464" s="41"/>
      <c r="CU464" s="41"/>
      <c r="CV464" s="41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  <c r="DG464" s="41"/>
      <c r="DH464" s="41"/>
      <c r="DI464" s="41"/>
      <c r="DJ464" s="41"/>
      <c r="DK464" s="41"/>
      <c r="DL464" s="41"/>
      <c r="DM464" s="41"/>
      <c r="DN464" s="41"/>
      <c r="DO464" s="41"/>
      <c r="DP464" s="41"/>
      <c r="DQ464" s="41"/>
      <c r="DR464" s="41"/>
      <c r="DS464" s="41"/>
      <c r="DT464" s="41"/>
      <c r="DU464" s="41"/>
      <c r="DV464" s="41"/>
      <c r="DW464" s="41"/>
      <c r="DX464" s="41"/>
      <c r="DY464" s="41"/>
      <c r="DZ464" s="41"/>
      <c r="EA464" s="41"/>
      <c r="EB464" s="41"/>
      <c r="EC464" s="41"/>
      <c r="ED464" s="41"/>
      <c r="EE464" s="41"/>
      <c r="EF464" s="41"/>
      <c r="EG464" s="41"/>
      <c r="EH464" s="41"/>
      <c r="EI464" s="41"/>
      <c r="EJ464" s="41"/>
      <c r="EK464" s="41"/>
      <c r="EL464" s="41"/>
      <c r="EM464" s="41"/>
      <c r="EN464" s="41"/>
      <c r="EO464" s="41"/>
      <c r="EP464" s="41"/>
      <c r="EQ464" s="41"/>
      <c r="ER464" s="41"/>
      <c r="ES464" s="41"/>
      <c r="ET464" s="41"/>
      <c r="EU464" s="41"/>
      <c r="EV464" s="41"/>
      <c r="EW464" s="41"/>
      <c r="EX464" s="41"/>
      <c r="EY464" s="41"/>
      <c r="EZ464" s="41"/>
      <c r="FA464" s="41"/>
      <c r="FB464" s="41"/>
      <c r="FC464" s="41"/>
      <c r="FD464" s="41"/>
      <c r="FE464" s="41"/>
    </row>
    <row r="465" spans="1:161" x14ac:dyDescent="0.25">
      <c r="A465" s="41"/>
      <c r="AC465" s="41"/>
      <c r="AD465" s="41"/>
      <c r="AE465" s="41"/>
      <c r="AF465" s="41"/>
      <c r="AG465" s="41"/>
      <c r="AH465" s="41"/>
      <c r="AI465" s="41"/>
      <c r="AJ465" s="41"/>
      <c r="AK465" s="41"/>
      <c r="BI465" s="41"/>
      <c r="BT465" s="48"/>
      <c r="BU465" s="47"/>
      <c r="CG465" s="48"/>
      <c r="CH465" s="41"/>
      <c r="CI465" s="41"/>
      <c r="CJ465" s="41"/>
      <c r="CK465" s="41"/>
      <c r="CL465" s="41"/>
      <c r="CM465" s="41"/>
      <c r="CN465" s="41"/>
      <c r="CO465" s="41"/>
      <c r="CP465" s="41"/>
      <c r="CQ465" s="41"/>
      <c r="CR465" s="41"/>
      <c r="CS465" s="41"/>
      <c r="CT465" s="41"/>
      <c r="CU465" s="41"/>
      <c r="CV465" s="41"/>
      <c r="CW465" s="41"/>
      <c r="CX465" s="41"/>
      <c r="CY465" s="41"/>
      <c r="CZ465" s="41"/>
      <c r="DA465" s="41"/>
      <c r="DB465" s="41"/>
      <c r="DC465" s="41"/>
      <c r="DD465" s="41"/>
      <c r="DE465" s="41"/>
      <c r="DF465" s="41"/>
      <c r="DG465" s="41"/>
      <c r="DH465" s="41"/>
      <c r="DI465" s="41"/>
      <c r="DJ465" s="41"/>
      <c r="DK465" s="41"/>
      <c r="DL465" s="41"/>
      <c r="DM465" s="41"/>
      <c r="DN465" s="41"/>
      <c r="DO465" s="41"/>
      <c r="DP465" s="41"/>
      <c r="DQ465" s="41"/>
      <c r="DR465" s="41"/>
      <c r="DS465" s="41"/>
      <c r="DT465" s="41"/>
      <c r="DU465" s="41"/>
      <c r="DV465" s="41"/>
      <c r="DW465" s="41"/>
      <c r="DX465" s="41"/>
      <c r="DY465" s="41"/>
      <c r="DZ465" s="41"/>
      <c r="EA465" s="41"/>
      <c r="EB465" s="41"/>
      <c r="EC465" s="41"/>
      <c r="ED465" s="41"/>
      <c r="EE465" s="41"/>
      <c r="EF465" s="41"/>
      <c r="EG465" s="41"/>
      <c r="EH465" s="41"/>
      <c r="EI465" s="41"/>
      <c r="EJ465" s="41"/>
      <c r="EK465" s="41"/>
      <c r="EL465" s="41"/>
      <c r="EM465" s="41"/>
      <c r="EN465" s="41"/>
      <c r="EO465" s="41"/>
      <c r="EP465" s="41"/>
      <c r="EQ465" s="41"/>
      <c r="ER465" s="41"/>
      <c r="ES465" s="41"/>
      <c r="ET465" s="41"/>
      <c r="EU465" s="41"/>
      <c r="EV465" s="41"/>
      <c r="EW465" s="41"/>
      <c r="EX465" s="41"/>
      <c r="EY465" s="41"/>
      <c r="EZ465" s="41"/>
      <c r="FA465" s="41"/>
      <c r="FB465" s="41"/>
      <c r="FC465" s="41"/>
      <c r="FD465" s="41"/>
      <c r="FE465" s="41"/>
    </row>
    <row r="466" spans="1:161" x14ac:dyDescent="0.25">
      <c r="A466" s="41"/>
      <c r="AC466" s="41"/>
      <c r="AD466" s="41"/>
      <c r="AE466" s="41"/>
      <c r="AF466" s="41"/>
      <c r="AG466" s="41"/>
      <c r="AH466" s="41"/>
      <c r="AI466" s="41"/>
      <c r="AJ466" s="41"/>
      <c r="AK466" s="41"/>
      <c r="BI466" s="41"/>
      <c r="BT466" s="48"/>
      <c r="BU466" s="47"/>
      <c r="CG466" s="48"/>
      <c r="CH466" s="41"/>
      <c r="CI466" s="41"/>
      <c r="CJ466" s="41"/>
      <c r="CK466" s="41"/>
      <c r="CL466" s="41"/>
      <c r="CM466" s="41"/>
      <c r="CN466" s="41"/>
      <c r="CO466" s="41"/>
      <c r="CP466" s="41"/>
      <c r="CQ466" s="41"/>
      <c r="CR466" s="41"/>
      <c r="CS466" s="41"/>
      <c r="CT466" s="41"/>
      <c r="CU466" s="41"/>
      <c r="CV466" s="41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  <c r="DG466" s="41"/>
      <c r="DH466" s="41"/>
      <c r="DI466" s="41"/>
      <c r="DJ466" s="41"/>
      <c r="DK466" s="41"/>
      <c r="DL466" s="41"/>
      <c r="DM466" s="41"/>
      <c r="DN466" s="41"/>
      <c r="DO466" s="41"/>
      <c r="DP466" s="41"/>
      <c r="DQ466" s="41"/>
      <c r="DR466" s="41"/>
      <c r="DS466" s="41"/>
      <c r="DT466" s="41"/>
      <c r="DU466" s="41"/>
      <c r="DV466" s="41"/>
      <c r="DW466" s="41"/>
      <c r="DX466" s="41"/>
      <c r="DY466" s="41"/>
      <c r="DZ466" s="41"/>
      <c r="EA466" s="41"/>
      <c r="EB466" s="41"/>
      <c r="EC466" s="41"/>
      <c r="ED466" s="41"/>
      <c r="EE466" s="41"/>
      <c r="EF466" s="41"/>
      <c r="EG466" s="41"/>
      <c r="EH466" s="41"/>
      <c r="EI466" s="41"/>
      <c r="EJ466" s="41"/>
      <c r="EK466" s="41"/>
      <c r="EL466" s="41"/>
      <c r="EM466" s="41"/>
      <c r="EN466" s="41"/>
      <c r="EO466" s="41"/>
      <c r="EP466" s="41"/>
      <c r="EQ466" s="41"/>
      <c r="ER466" s="41"/>
      <c r="ES466" s="41"/>
      <c r="ET466" s="41"/>
      <c r="EU466" s="41"/>
      <c r="EV466" s="41"/>
      <c r="EW466" s="41"/>
      <c r="EX466" s="41"/>
      <c r="EY466" s="41"/>
      <c r="EZ466" s="41"/>
      <c r="FA466" s="41"/>
      <c r="FB466" s="41"/>
      <c r="FC466" s="41"/>
      <c r="FD466" s="41"/>
      <c r="FE466" s="41"/>
    </row>
    <row r="467" spans="1:161" x14ac:dyDescent="0.25">
      <c r="A467" s="41"/>
      <c r="AC467" s="41"/>
      <c r="AD467" s="41"/>
      <c r="AE467" s="41"/>
      <c r="AF467" s="41"/>
      <c r="AG467" s="41"/>
      <c r="AH467" s="41"/>
      <c r="AI467" s="41"/>
      <c r="AJ467" s="41"/>
      <c r="AK467" s="41"/>
      <c r="BI467" s="41"/>
      <c r="BT467" s="48"/>
      <c r="BU467" s="47"/>
      <c r="CG467" s="48"/>
      <c r="CH467" s="41"/>
      <c r="CI467" s="41"/>
      <c r="CJ467" s="41"/>
      <c r="CK467" s="41"/>
      <c r="CL467" s="41"/>
      <c r="CM467" s="41"/>
      <c r="CN467" s="41"/>
      <c r="CO467" s="41"/>
      <c r="CP467" s="41"/>
      <c r="CQ467" s="41"/>
      <c r="CR467" s="41"/>
      <c r="CS467" s="41"/>
      <c r="CT467" s="41"/>
      <c r="CU467" s="41"/>
      <c r="CV467" s="41"/>
      <c r="CW467" s="41"/>
      <c r="CX467" s="41"/>
      <c r="CY467" s="41"/>
      <c r="CZ467" s="41"/>
      <c r="DA467" s="41"/>
      <c r="DB467" s="41"/>
      <c r="DC467" s="41"/>
      <c r="DD467" s="41"/>
      <c r="DE467" s="41"/>
      <c r="DF467" s="41"/>
      <c r="DG467" s="41"/>
      <c r="DH467" s="41"/>
      <c r="DI467" s="41"/>
      <c r="DJ467" s="41"/>
      <c r="DK467" s="41"/>
      <c r="DL467" s="41"/>
      <c r="DM467" s="41"/>
      <c r="DN467" s="41"/>
      <c r="DO467" s="41"/>
      <c r="DP467" s="41"/>
      <c r="DQ467" s="41"/>
      <c r="DR467" s="41"/>
      <c r="DS467" s="41"/>
      <c r="DT467" s="41"/>
      <c r="DU467" s="41"/>
      <c r="DV467" s="41"/>
      <c r="DW467" s="41"/>
      <c r="DX467" s="41"/>
      <c r="DY467" s="41"/>
      <c r="DZ467" s="41"/>
      <c r="EA467" s="41"/>
      <c r="EB467" s="41"/>
      <c r="EC467" s="41"/>
      <c r="ED467" s="41"/>
      <c r="EE467" s="41"/>
      <c r="EF467" s="41"/>
      <c r="EG467" s="41"/>
      <c r="EH467" s="41"/>
      <c r="EI467" s="41"/>
      <c r="EJ467" s="41"/>
      <c r="EK467" s="41"/>
      <c r="EL467" s="41"/>
      <c r="EM467" s="41"/>
      <c r="EN467" s="41"/>
      <c r="EO467" s="41"/>
      <c r="EP467" s="41"/>
      <c r="EQ467" s="41"/>
      <c r="ER467" s="41"/>
      <c r="ES467" s="41"/>
      <c r="ET467" s="41"/>
      <c r="EU467" s="41"/>
      <c r="EV467" s="41"/>
      <c r="EW467" s="41"/>
      <c r="EX467" s="41"/>
      <c r="EY467" s="41"/>
      <c r="EZ467" s="41"/>
      <c r="FA467" s="41"/>
      <c r="FB467" s="41"/>
      <c r="FC467" s="41"/>
      <c r="FD467" s="41"/>
      <c r="FE467" s="41"/>
    </row>
    <row r="468" spans="1:161" x14ac:dyDescent="0.25">
      <c r="A468" s="41"/>
      <c r="AC468" s="41"/>
      <c r="AD468" s="41"/>
      <c r="AE468" s="41"/>
      <c r="AF468" s="41"/>
      <c r="AG468" s="41"/>
      <c r="AH468" s="41"/>
      <c r="AI468" s="41"/>
      <c r="AJ468" s="41"/>
      <c r="AK468" s="41"/>
      <c r="BI468" s="41"/>
      <c r="BT468" s="48"/>
      <c r="BU468" s="47"/>
      <c r="CG468" s="48"/>
      <c r="CH468" s="41"/>
      <c r="CI468" s="41"/>
      <c r="CJ468" s="41"/>
      <c r="CK468" s="41"/>
      <c r="CL468" s="41"/>
      <c r="CM468" s="41"/>
      <c r="CN468" s="41"/>
      <c r="CO468" s="41"/>
      <c r="CP468" s="41"/>
      <c r="CQ468" s="41"/>
      <c r="CR468" s="41"/>
      <c r="CS468" s="41"/>
      <c r="CT468" s="41"/>
      <c r="CU468" s="41"/>
      <c r="CV468" s="41"/>
      <c r="CW468" s="41"/>
      <c r="CX468" s="41"/>
      <c r="CY468" s="41"/>
      <c r="CZ468" s="41"/>
      <c r="DA468" s="41"/>
      <c r="DB468" s="41"/>
      <c r="DC468" s="41"/>
      <c r="DD468" s="41"/>
      <c r="DE468" s="41"/>
      <c r="DF468" s="41"/>
      <c r="DG468" s="41"/>
      <c r="DH468" s="41"/>
      <c r="DI468" s="41"/>
      <c r="DJ468" s="41"/>
      <c r="DK468" s="41"/>
      <c r="DL468" s="41"/>
      <c r="DM468" s="41"/>
      <c r="DN468" s="41"/>
      <c r="DO468" s="41"/>
      <c r="DP468" s="41"/>
      <c r="DQ468" s="41"/>
      <c r="DR468" s="41"/>
      <c r="DS468" s="41"/>
      <c r="DT468" s="41"/>
      <c r="DU468" s="41"/>
      <c r="DV468" s="41"/>
      <c r="DW468" s="41"/>
      <c r="DX468" s="41"/>
      <c r="DY468" s="41"/>
      <c r="DZ468" s="41"/>
      <c r="EA468" s="41"/>
      <c r="EB468" s="41"/>
      <c r="EC468" s="41"/>
      <c r="ED468" s="41"/>
      <c r="EE468" s="41"/>
      <c r="EF468" s="41"/>
      <c r="EG468" s="41"/>
      <c r="EH468" s="41"/>
      <c r="EI468" s="41"/>
      <c r="EJ468" s="41"/>
      <c r="EK468" s="41"/>
      <c r="EL468" s="41"/>
      <c r="EM468" s="41"/>
      <c r="EN468" s="41"/>
      <c r="EO468" s="41"/>
      <c r="EP468" s="41"/>
      <c r="EQ468" s="41"/>
      <c r="ER468" s="41"/>
      <c r="ES468" s="41"/>
      <c r="ET468" s="41"/>
      <c r="EU468" s="41"/>
      <c r="EV468" s="41"/>
      <c r="EW468" s="41"/>
      <c r="EX468" s="41"/>
      <c r="EY468" s="41"/>
      <c r="EZ468" s="41"/>
      <c r="FA468" s="41"/>
      <c r="FB468" s="41"/>
      <c r="FC468" s="41"/>
      <c r="FD468" s="41"/>
      <c r="FE468" s="41"/>
    </row>
    <row r="469" spans="1:161" x14ac:dyDescent="0.25">
      <c r="A469" s="41"/>
      <c r="AC469" s="41"/>
      <c r="AD469" s="41"/>
      <c r="AE469" s="41"/>
      <c r="AF469" s="41"/>
      <c r="AG469" s="41"/>
      <c r="AH469" s="41"/>
      <c r="AI469" s="41"/>
      <c r="AJ469" s="41"/>
      <c r="AK469" s="41"/>
      <c r="BI469" s="41"/>
      <c r="BT469" s="48"/>
      <c r="BU469" s="47"/>
      <c r="CG469" s="48"/>
      <c r="CH469" s="41"/>
      <c r="CI469" s="41"/>
      <c r="CJ469" s="41"/>
      <c r="CK469" s="41"/>
      <c r="CL469" s="41"/>
      <c r="CM469" s="41"/>
      <c r="CN469" s="41"/>
      <c r="CO469" s="41"/>
      <c r="CP469" s="41"/>
      <c r="CQ469" s="41"/>
      <c r="CR469" s="41"/>
      <c r="CS469" s="41"/>
      <c r="CT469" s="41"/>
      <c r="CU469" s="41"/>
      <c r="CV469" s="41"/>
      <c r="CW469" s="41"/>
      <c r="CX469" s="41"/>
      <c r="CY469" s="41"/>
      <c r="CZ469" s="41"/>
      <c r="DA469" s="41"/>
      <c r="DB469" s="41"/>
      <c r="DC469" s="41"/>
      <c r="DD469" s="41"/>
      <c r="DE469" s="41"/>
      <c r="DF469" s="41"/>
      <c r="DG469" s="41"/>
      <c r="DH469" s="41"/>
      <c r="DI469" s="41"/>
      <c r="DJ469" s="41"/>
      <c r="DK469" s="41"/>
      <c r="DL469" s="41"/>
      <c r="DM469" s="41"/>
      <c r="DN469" s="41"/>
      <c r="DO469" s="41"/>
      <c r="DP469" s="41"/>
      <c r="DQ469" s="41"/>
      <c r="DR469" s="41"/>
      <c r="DS469" s="41"/>
      <c r="DT469" s="41"/>
      <c r="DU469" s="41"/>
      <c r="DV469" s="41"/>
      <c r="DW469" s="41"/>
      <c r="DX469" s="41"/>
      <c r="DY469" s="41"/>
      <c r="DZ469" s="41"/>
      <c r="EA469" s="41"/>
      <c r="EB469" s="41"/>
      <c r="EC469" s="41"/>
      <c r="ED469" s="41"/>
      <c r="EE469" s="41"/>
      <c r="EF469" s="41"/>
      <c r="EG469" s="41"/>
      <c r="EH469" s="41"/>
      <c r="EI469" s="41"/>
      <c r="EJ469" s="41"/>
      <c r="EK469" s="41"/>
      <c r="EL469" s="41"/>
      <c r="EM469" s="41"/>
      <c r="EN469" s="41"/>
      <c r="EO469" s="41"/>
      <c r="EP469" s="41"/>
      <c r="EQ469" s="41"/>
      <c r="ER469" s="41"/>
      <c r="ES469" s="41"/>
      <c r="ET469" s="41"/>
      <c r="EU469" s="41"/>
      <c r="EV469" s="41"/>
      <c r="EW469" s="41"/>
      <c r="EX469" s="41"/>
      <c r="EY469" s="41"/>
      <c r="EZ469" s="41"/>
      <c r="FA469" s="41"/>
      <c r="FB469" s="41"/>
      <c r="FC469" s="41"/>
      <c r="FD469" s="41"/>
      <c r="FE469" s="41"/>
    </row>
    <row r="470" spans="1:161" x14ac:dyDescent="0.25">
      <c r="A470" s="41"/>
      <c r="AC470" s="41"/>
      <c r="AD470" s="41"/>
      <c r="AE470" s="41"/>
      <c r="AF470" s="41"/>
      <c r="AG470" s="41"/>
      <c r="AH470" s="41"/>
      <c r="AI470" s="41"/>
      <c r="AJ470" s="41"/>
      <c r="AK470" s="41"/>
      <c r="BI470" s="41"/>
      <c r="BT470" s="48"/>
      <c r="BU470" s="47"/>
      <c r="CG470" s="48"/>
      <c r="CH470" s="41"/>
      <c r="CI470" s="41"/>
      <c r="CJ470" s="41"/>
      <c r="CK470" s="41"/>
      <c r="CL470" s="41"/>
      <c r="CM470" s="41"/>
      <c r="CN470" s="41"/>
      <c r="CO470" s="41"/>
      <c r="CP470" s="41"/>
      <c r="CQ470" s="41"/>
      <c r="CR470" s="41"/>
      <c r="CS470" s="41"/>
      <c r="CT470" s="41"/>
      <c r="CU470" s="41"/>
      <c r="CV470" s="41"/>
      <c r="CW470" s="41"/>
      <c r="CX470" s="41"/>
      <c r="CY470" s="41"/>
      <c r="CZ470" s="41"/>
      <c r="DA470" s="41"/>
      <c r="DB470" s="41"/>
      <c r="DC470" s="41"/>
      <c r="DD470" s="41"/>
      <c r="DE470" s="41"/>
      <c r="DF470" s="41"/>
      <c r="DG470" s="41"/>
      <c r="DH470" s="41"/>
      <c r="DI470" s="41"/>
      <c r="DJ470" s="41"/>
      <c r="DK470" s="41"/>
      <c r="DL470" s="41"/>
      <c r="DM470" s="41"/>
      <c r="DN470" s="41"/>
      <c r="DO470" s="41"/>
      <c r="DP470" s="41"/>
      <c r="DQ470" s="41"/>
      <c r="DR470" s="41"/>
      <c r="DS470" s="41"/>
      <c r="DT470" s="41"/>
      <c r="DU470" s="41"/>
      <c r="DV470" s="41"/>
      <c r="DW470" s="41"/>
      <c r="DX470" s="41"/>
      <c r="DY470" s="41"/>
      <c r="DZ470" s="41"/>
      <c r="EA470" s="41"/>
      <c r="EB470" s="41"/>
      <c r="EC470" s="41"/>
      <c r="ED470" s="41"/>
      <c r="EE470" s="41"/>
      <c r="EF470" s="41"/>
      <c r="EG470" s="41"/>
      <c r="EH470" s="41"/>
      <c r="EI470" s="41"/>
      <c r="EJ470" s="41"/>
      <c r="EK470" s="41"/>
      <c r="EL470" s="41"/>
      <c r="EM470" s="41"/>
      <c r="EN470" s="41"/>
      <c r="EO470" s="41"/>
      <c r="EP470" s="41"/>
      <c r="EQ470" s="41"/>
      <c r="ER470" s="41"/>
      <c r="ES470" s="41"/>
      <c r="ET470" s="41"/>
      <c r="EU470" s="41"/>
      <c r="EV470" s="41"/>
      <c r="EW470" s="41"/>
      <c r="EX470" s="41"/>
      <c r="EY470" s="41"/>
      <c r="EZ470" s="41"/>
      <c r="FA470" s="41"/>
      <c r="FB470" s="41"/>
      <c r="FC470" s="41"/>
      <c r="FD470" s="41"/>
      <c r="FE470" s="41"/>
    </row>
    <row r="471" spans="1:161" x14ac:dyDescent="0.25">
      <c r="A471" s="41"/>
      <c r="AC471" s="41"/>
      <c r="AD471" s="41"/>
      <c r="AE471" s="41"/>
      <c r="AF471" s="41"/>
      <c r="AG471" s="41"/>
      <c r="AH471" s="41"/>
      <c r="AI471" s="41"/>
      <c r="AJ471" s="41"/>
      <c r="AK471" s="41"/>
      <c r="BI471" s="41"/>
      <c r="BT471" s="48"/>
      <c r="BU471" s="47"/>
      <c r="CG471" s="48"/>
      <c r="CH471" s="41"/>
      <c r="CI471" s="41"/>
      <c r="CJ471" s="41"/>
      <c r="CK471" s="41"/>
      <c r="CL471" s="41"/>
      <c r="CM471" s="41"/>
      <c r="CN471" s="41"/>
      <c r="CO471" s="41"/>
      <c r="CP471" s="41"/>
      <c r="CQ471" s="41"/>
      <c r="CR471" s="41"/>
      <c r="CS471" s="41"/>
      <c r="CT471" s="41"/>
      <c r="CU471" s="41"/>
      <c r="CV471" s="41"/>
      <c r="CW471" s="41"/>
      <c r="CX471" s="41"/>
      <c r="CY471" s="41"/>
      <c r="CZ471" s="41"/>
      <c r="DA471" s="41"/>
      <c r="DB471" s="41"/>
      <c r="DC471" s="41"/>
      <c r="DD471" s="41"/>
      <c r="DE471" s="41"/>
      <c r="DF471" s="41"/>
      <c r="DG471" s="41"/>
      <c r="DH471" s="41"/>
      <c r="DI471" s="41"/>
      <c r="DJ471" s="41"/>
      <c r="DK471" s="41"/>
      <c r="DL471" s="41"/>
      <c r="DM471" s="41"/>
      <c r="DN471" s="41"/>
      <c r="DO471" s="41"/>
      <c r="DP471" s="41"/>
      <c r="DQ471" s="41"/>
      <c r="DR471" s="41"/>
      <c r="DS471" s="41"/>
      <c r="DT471" s="41"/>
      <c r="DU471" s="41"/>
      <c r="DV471" s="41"/>
      <c r="DW471" s="41"/>
      <c r="DX471" s="41"/>
      <c r="DY471" s="41"/>
      <c r="DZ471" s="41"/>
      <c r="EA471" s="41"/>
      <c r="EB471" s="41"/>
      <c r="EC471" s="41"/>
      <c r="ED471" s="41"/>
      <c r="EE471" s="41"/>
      <c r="EF471" s="41"/>
      <c r="EG471" s="41"/>
      <c r="EH471" s="41"/>
      <c r="EI471" s="41"/>
      <c r="EJ471" s="41"/>
      <c r="EK471" s="41"/>
      <c r="EL471" s="41"/>
      <c r="EM471" s="41"/>
      <c r="EN471" s="41"/>
      <c r="EO471" s="41"/>
      <c r="EP471" s="41"/>
      <c r="EQ471" s="41"/>
      <c r="ER471" s="41"/>
      <c r="ES471" s="41"/>
      <c r="ET471" s="41"/>
      <c r="EU471" s="41"/>
      <c r="EV471" s="41"/>
      <c r="EW471" s="41"/>
      <c r="EX471" s="41"/>
      <c r="EY471" s="41"/>
      <c r="EZ471" s="41"/>
      <c r="FA471" s="41"/>
      <c r="FB471" s="41"/>
      <c r="FC471" s="41"/>
      <c r="FD471" s="41"/>
      <c r="FE471" s="41"/>
    </row>
    <row r="472" spans="1:161" x14ac:dyDescent="0.25">
      <c r="A472" s="41"/>
      <c r="AC472" s="41"/>
      <c r="AD472" s="41"/>
      <c r="AE472" s="41"/>
      <c r="AF472" s="41"/>
      <c r="AG472" s="41"/>
      <c r="AH472" s="41"/>
      <c r="AI472" s="41"/>
      <c r="AJ472" s="41"/>
      <c r="AK472" s="41"/>
      <c r="BI472" s="41"/>
      <c r="BT472" s="48"/>
      <c r="BU472" s="47"/>
      <c r="CG472" s="48"/>
      <c r="CH472" s="41"/>
      <c r="CI472" s="41"/>
      <c r="CJ472" s="41"/>
      <c r="CK472" s="41"/>
      <c r="CL472" s="41"/>
      <c r="CM472" s="41"/>
      <c r="CN472" s="41"/>
      <c r="CO472" s="41"/>
      <c r="CP472" s="41"/>
      <c r="CQ472" s="41"/>
      <c r="CR472" s="41"/>
      <c r="CS472" s="41"/>
      <c r="CT472" s="41"/>
      <c r="CU472" s="41"/>
      <c r="CV472" s="41"/>
      <c r="CW472" s="41"/>
      <c r="CX472" s="41"/>
      <c r="CY472" s="41"/>
      <c r="CZ472" s="41"/>
      <c r="DA472" s="41"/>
      <c r="DB472" s="41"/>
      <c r="DC472" s="41"/>
      <c r="DD472" s="41"/>
      <c r="DE472" s="41"/>
      <c r="DF472" s="41"/>
      <c r="DG472" s="41"/>
      <c r="DH472" s="41"/>
      <c r="DI472" s="41"/>
      <c r="DJ472" s="41"/>
      <c r="DK472" s="41"/>
      <c r="DL472" s="41"/>
      <c r="DM472" s="41"/>
      <c r="DN472" s="41"/>
      <c r="DO472" s="41"/>
      <c r="DP472" s="41"/>
      <c r="DQ472" s="41"/>
      <c r="DR472" s="41"/>
      <c r="DS472" s="41"/>
      <c r="DT472" s="41"/>
      <c r="DU472" s="41"/>
      <c r="DV472" s="41"/>
      <c r="DW472" s="41"/>
      <c r="DX472" s="41"/>
      <c r="DY472" s="41"/>
      <c r="DZ472" s="41"/>
      <c r="EA472" s="41"/>
      <c r="EB472" s="41"/>
      <c r="EC472" s="41"/>
      <c r="ED472" s="41"/>
      <c r="EE472" s="41"/>
      <c r="EF472" s="41"/>
      <c r="EG472" s="41"/>
      <c r="EH472" s="41"/>
      <c r="EI472" s="41"/>
      <c r="EJ472" s="41"/>
      <c r="EK472" s="41"/>
      <c r="EL472" s="41"/>
      <c r="EM472" s="41"/>
      <c r="EN472" s="41"/>
      <c r="EO472" s="41"/>
      <c r="EP472" s="41"/>
      <c r="EQ472" s="41"/>
      <c r="ER472" s="41"/>
      <c r="ES472" s="41"/>
      <c r="ET472" s="41"/>
      <c r="EU472" s="41"/>
      <c r="EV472" s="41"/>
      <c r="EW472" s="41"/>
      <c r="EX472" s="41"/>
      <c r="EY472" s="41"/>
      <c r="EZ472" s="41"/>
      <c r="FA472" s="41"/>
      <c r="FB472" s="41"/>
      <c r="FC472" s="41"/>
      <c r="FD472" s="41"/>
      <c r="FE472" s="41"/>
    </row>
    <row r="473" spans="1:161" x14ac:dyDescent="0.25">
      <c r="A473" s="41"/>
      <c r="AC473" s="41"/>
      <c r="AD473" s="41"/>
      <c r="AE473" s="41"/>
      <c r="AF473" s="41"/>
      <c r="AG473" s="41"/>
      <c r="AH473" s="41"/>
      <c r="AI473" s="41"/>
      <c r="AJ473" s="41"/>
      <c r="AK473" s="41"/>
      <c r="BI473" s="41"/>
      <c r="BT473" s="48"/>
      <c r="BU473" s="47"/>
      <c r="CG473" s="48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  <c r="DG473" s="41"/>
      <c r="DH473" s="41"/>
      <c r="DI473" s="41"/>
      <c r="DJ473" s="41"/>
      <c r="DK473" s="41"/>
      <c r="DL473" s="41"/>
      <c r="DM473" s="41"/>
      <c r="DN473" s="41"/>
      <c r="DO473" s="41"/>
      <c r="DP473" s="41"/>
      <c r="DQ473" s="41"/>
      <c r="DR473" s="41"/>
      <c r="DS473" s="41"/>
      <c r="DT473" s="41"/>
      <c r="DU473" s="41"/>
      <c r="DV473" s="41"/>
      <c r="DW473" s="41"/>
      <c r="DX473" s="41"/>
      <c r="DY473" s="41"/>
      <c r="DZ473" s="41"/>
      <c r="EA473" s="41"/>
      <c r="EB473" s="41"/>
      <c r="EC473" s="41"/>
      <c r="ED473" s="41"/>
      <c r="EE473" s="41"/>
      <c r="EF473" s="41"/>
      <c r="EG473" s="41"/>
      <c r="EH473" s="41"/>
      <c r="EI473" s="41"/>
      <c r="EJ473" s="41"/>
      <c r="EK473" s="41"/>
      <c r="EL473" s="41"/>
      <c r="EM473" s="41"/>
      <c r="EN473" s="41"/>
      <c r="EO473" s="41"/>
      <c r="EP473" s="41"/>
      <c r="EQ473" s="41"/>
      <c r="ER473" s="41"/>
      <c r="ES473" s="41"/>
      <c r="ET473" s="41"/>
      <c r="EU473" s="41"/>
      <c r="EV473" s="41"/>
      <c r="EW473" s="41"/>
      <c r="EX473" s="41"/>
      <c r="EY473" s="41"/>
      <c r="EZ473" s="41"/>
      <c r="FA473" s="41"/>
      <c r="FB473" s="41"/>
      <c r="FC473" s="41"/>
      <c r="FD473" s="41"/>
      <c r="FE473" s="41"/>
    </row>
    <row r="474" spans="1:161" x14ac:dyDescent="0.25">
      <c r="A474" s="41"/>
      <c r="AC474" s="41"/>
      <c r="AD474" s="41"/>
      <c r="AE474" s="41"/>
      <c r="AF474" s="41"/>
      <c r="AG474" s="41"/>
      <c r="AH474" s="41"/>
      <c r="AI474" s="41"/>
      <c r="AJ474" s="41"/>
      <c r="AK474" s="41"/>
      <c r="BI474" s="41"/>
      <c r="BT474" s="48"/>
      <c r="BU474" s="47"/>
      <c r="CG474" s="48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  <c r="DG474" s="41"/>
      <c r="DH474" s="41"/>
      <c r="DI474" s="41"/>
      <c r="DJ474" s="41"/>
      <c r="DK474" s="41"/>
      <c r="DL474" s="41"/>
      <c r="DM474" s="41"/>
      <c r="DN474" s="41"/>
      <c r="DO474" s="41"/>
      <c r="DP474" s="41"/>
      <c r="DQ474" s="41"/>
      <c r="DR474" s="41"/>
      <c r="DS474" s="41"/>
      <c r="DT474" s="41"/>
      <c r="DU474" s="41"/>
      <c r="DV474" s="41"/>
      <c r="DW474" s="41"/>
      <c r="DX474" s="41"/>
      <c r="DY474" s="41"/>
      <c r="DZ474" s="41"/>
      <c r="EA474" s="41"/>
      <c r="EB474" s="41"/>
      <c r="EC474" s="41"/>
      <c r="ED474" s="41"/>
      <c r="EE474" s="41"/>
      <c r="EF474" s="41"/>
      <c r="EG474" s="41"/>
      <c r="EH474" s="41"/>
      <c r="EI474" s="41"/>
      <c r="EJ474" s="41"/>
      <c r="EK474" s="41"/>
      <c r="EL474" s="41"/>
      <c r="EM474" s="41"/>
      <c r="EN474" s="41"/>
      <c r="EO474" s="41"/>
      <c r="EP474" s="41"/>
      <c r="EQ474" s="41"/>
      <c r="ER474" s="41"/>
      <c r="ES474" s="41"/>
      <c r="ET474" s="41"/>
      <c r="EU474" s="41"/>
      <c r="EV474" s="41"/>
      <c r="EW474" s="41"/>
      <c r="EX474" s="41"/>
      <c r="EY474" s="41"/>
      <c r="EZ474" s="41"/>
      <c r="FA474" s="41"/>
      <c r="FB474" s="41"/>
      <c r="FC474" s="41"/>
      <c r="FD474" s="41"/>
      <c r="FE474" s="41"/>
    </row>
    <row r="475" spans="1:161" x14ac:dyDescent="0.25">
      <c r="A475" s="41"/>
      <c r="AC475" s="41"/>
      <c r="AD475" s="41"/>
      <c r="AE475" s="41"/>
      <c r="AF475" s="41"/>
      <c r="AG475" s="41"/>
      <c r="AH475" s="41"/>
      <c r="AI475" s="41"/>
      <c r="AJ475" s="41"/>
      <c r="AK475" s="41"/>
      <c r="BI475" s="41"/>
      <c r="BT475" s="48"/>
      <c r="BU475" s="47"/>
      <c r="CG475" s="48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1"/>
      <c r="DJ475" s="41"/>
      <c r="DK475" s="41"/>
      <c r="DL475" s="41"/>
      <c r="DM475" s="41"/>
      <c r="DN475" s="41"/>
      <c r="DO475" s="41"/>
      <c r="DP475" s="41"/>
      <c r="DQ475" s="41"/>
      <c r="DR475" s="41"/>
      <c r="DS475" s="41"/>
      <c r="DT475" s="41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  <c r="EO475" s="41"/>
      <c r="EP475" s="41"/>
      <c r="EQ475" s="41"/>
      <c r="ER475" s="41"/>
      <c r="ES475" s="41"/>
      <c r="ET475" s="41"/>
      <c r="EU475" s="41"/>
      <c r="EV475" s="41"/>
      <c r="EW475" s="41"/>
      <c r="EX475" s="41"/>
      <c r="EY475" s="41"/>
      <c r="EZ475" s="41"/>
      <c r="FA475" s="41"/>
      <c r="FB475" s="41"/>
      <c r="FC475" s="41"/>
      <c r="FD475" s="41"/>
      <c r="FE475" s="41"/>
    </row>
    <row r="476" spans="1:161" x14ac:dyDescent="0.25">
      <c r="A476" s="41"/>
      <c r="AC476" s="41"/>
      <c r="AD476" s="41"/>
      <c r="AE476" s="41"/>
      <c r="AF476" s="41"/>
      <c r="AG476" s="41"/>
      <c r="AH476" s="41"/>
      <c r="AI476" s="41"/>
      <c r="AJ476" s="41"/>
      <c r="AK476" s="41"/>
      <c r="BI476" s="41"/>
      <c r="BT476" s="48"/>
      <c r="BU476" s="47"/>
      <c r="CG476" s="48"/>
      <c r="CH476" s="41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  <c r="DG476" s="41"/>
      <c r="DH476" s="41"/>
      <c r="DI476" s="41"/>
      <c r="DJ476" s="41"/>
      <c r="DK476" s="41"/>
      <c r="DL476" s="41"/>
      <c r="DM476" s="41"/>
      <c r="DN476" s="41"/>
      <c r="DO476" s="41"/>
      <c r="DP476" s="41"/>
      <c r="DQ476" s="41"/>
      <c r="DR476" s="41"/>
      <c r="DS476" s="41"/>
      <c r="DT476" s="41"/>
      <c r="DU476" s="41"/>
      <c r="DV476" s="41"/>
      <c r="DW476" s="41"/>
      <c r="DX476" s="41"/>
      <c r="DY476" s="41"/>
      <c r="DZ476" s="41"/>
      <c r="EA476" s="41"/>
      <c r="EB476" s="41"/>
      <c r="EC476" s="41"/>
      <c r="ED476" s="41"/>
      <c r="EE476" s="41"/>
      <c r="EF476" s="41"/>
      <c r="EG476" s="41"/>
      <c r="EH476" s="41"/>
      <c r="EI476" s="41"/>
      <c r="EJ476" s="41"/>
      <c r="EK476" s="41"/>
      <c r="EL476" s="41"/>
      <c r="EM476" s="41"/>
      <c r="EN476" s="41"/>
      <c r="EO476" s="41"/>
      <c r="EP476" s="41"/>
      <c r="EQ476" s="41"/>
      <c r="ER476" s="41"/>
      <c r="ES476" s="41"/>
      <c r="ET476" s="41"/>
      <c r="EU476" s="41"/>
      <c r="EV476" s="41"/>
      <c r="EW476" s="41"/>
      <c r="EX476" s="41"/>
      <c r="EY476" s="41"/>
      <c r="EZ476" s="41"/>
      <c r="FA476" s="41"/>
      <c r="FB476" s="41"/>
      <c r="FC476" s="41"/>
      <c r="FD476" s="41"/>
      <c r="FE476" s="41"/>
    </row>
    <row r="477" spans="1:161" x14ac:dyDescent="0.25">
      <c r="A477" s="41"/>
      <c r="AC477" s="41"/>
      <c r="AD477" s="41"/>
      <c r="AE477" s="41"/>
      <c r="AF477" s="41"/>
      <c r="AG477" s="41"/>
      <c r="AH477" s="41"/>
      <c r="AI477" s="41"/>
      <c r="AJ477" s="41"/>
      <c r="AK477" s="41"/>
      <c r="BI477" s="41"/>
      <c r="BT477" s="48"/>
      <c r="BU477" s="47"/>
      <c r="CG477" s="48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  <c r="DG477" s="41"/>
      <c r="DH477" s="41"/>
      <c r="DI477" s="41"/>
      <c r="DJ477" s="41"/>
      <c r="DK477" s="41"/>
      <c r="DL477" s="41"/>
      <c r="DM477" s="41"/>
      <c r="DN477" s="41"/>
      <c r="DO477" s="41"/>
      <c r="DP477" s="41"/>
      <c r="DQ477" s="41"/>
      <c r="DR477" s="41"/>
      <c r="DS477" s="41"/>
      <c r="DT477" s="41"/>
      <c r="DU477" s="41"/>
      <c r="DV477" s="41"/>
      <c r="DW477" s="41"/>
      <c r="DX477" s="41"/>
      <c r="DY477" s="41"/>
      <c r="DZ477" s="41"/>
      <c r="EA477" s="41"/>
      <c r="EB477" s="41"/>
      <c r="EC477" s="41"/>
      <c r="ED477" s="41"/>
      <c r="EE477" s="41"/>
      <c r="EF477" s="41"/>
      <c r="EG477" s="41"/>
      <c r="EH477" s="41"/>
      <c r="EI477" s="41"/>
      <c r="EJ477" s="41"/>
      <c r="EK477" s="41"/>
      <c r="EL477" s="41"/>
      <c r="EM477" s="41"/>
      <c r="EN477" s="41"/>
      <c r="EO477" s="41"/>
      <c r="EP477" s="41"/>
      <c r="EQ477" s="41"/>
      <c r="ER477" s="41"/>
      <c r="ES477" s="41"/>
      <c r="ET477" s="41"/>
      <c r="EU477" s="41"/>
      <c r="EV477" s="41"/>
      <c r="EW477" s="41"/>
      <c r="EX477" s="41"/>
      <c r="EY477" s="41"/>
      <c r="EZ477" s="41"/>
      <c r="FA477" s="41"/>
      <c r="FB477" s="41"/>
      <c r="FC477" s="41"/>
      <c r="FD477" s="41"/>
      <c r="FE477" s="41"/>
    </row>
    <row r="478" spans="1:161" x14ac:dyDescent="0.25">
      <c r="A478" s="41"/>
      <c r="AC478" s="41"/>
      <c r="AD478" s="41"/>
      <c r="AE478" s="41"/>
      <c r="AF478" s="41"/>
      <c r="AG478" s="41"/>
      <c r="AH478" s="41"/>
      <c r="AI478" s="41"/>
      <c r="AJ478" s="41"/>
      <c r="AK478" s="41"/>
      <c r="BI478" s="41"/>
      <c r="BT478" s="48"/>
      <c r="BU478" s="47"/>
      <c r="CG478" s="48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  <c r="DG478" s="41"/>
      <c r="DH478" s="41"/>
      <c r="DI478" s="41"/>
      <c r="DJ478" s="41"/>
      <c r="DK478" s="41"/>
      <c r="DL478" s="41"/>
      <c r="DM478" s="41"/>
      <c r="DN478" s="41"/>
      <c r="DO478" s="41"/>
      <c r="DP478" s="41"/>
      <c r="DQ478" s="41"/>
      <c r="DR478" s="41"/>
      <c r="DS478" s="41"/>
      <c r="DT478" s="41"/>
      <c r="DU478" s="41"/>
      <c r="DV478" s="41"/>
      <c r="DW478" s="41"/>
      <c r="DX478" s="41"/>
      <c r="DY478" s="41"/>
      <c r="DZ478" s="41"/>
      <c r="EA478" s="41"/>
      <c r="EB478" s="41"/>
      <c r="EC478" s="41"/>
      <c r="ED478" s="41"/>
      <c r="EE478" s="41"/>
      <c r="EF478" s="41"/>
      <c r="EG478" s="41"/>
      <c r="EH478" s="41"/>
      <c r="EI478" s="41"/>
      <c r="EJ478" s="41"/>
      <c r="EK478" s="41"/>
      <c r="EL478" s="41"/>
      <c r="EM478" s="41"/>
      <c r="EN478" s="41"/>
      <c r="EO478" s="41"/>
      <c r="EP478" s="41"/>
      <c r="EQ478" s="41"/>
      <c r="ER478" s="41"/>
      <c r="ES478" s="41"/>
      <c r="ET478" s="41"/>
      <c r="EU478" s="41"/>
      <c r="EV478" s="41"/>
      <c r="EW478" s="41"/>
      <c r="EX478" s="41"/>
      <c r="EY478" s="41"/>
      <c r="EZ478" s="41"/>
      <c r="FA478" s="41"/>
      <c r="FB478" s="41"/>
      <c r="FC478" s="41"/>
      <c r="FD478" s="41"/>
      <c r="FE478" s="41"/>
    </row>
    <row r="479" spans="1:161" x14ac:dyDescent="0.25">
      <c r="A479" s="41"/>
      <c r="AC479" s="41"/>
      <c r="AD479" s="41"/>
      <c r="AE479" s="41"/>
      <c r="AF479" s="41"/>
      <c r="AG479" s="41"/>
      <c r="AH479" s="41"/>
      <c r="AI479" s="41"/>
      <c r="AJ479" s="41"/>
      <c r="AK479" s="41"/>
      <c r="BI479" s="41"/>
      <c r="BT479" s="48"/>
      <c r="BU479" s="47"/>
      <c r="CG479" s="48"/>
      <c r="CH479" s="41"/>
      <c r="CI479" s="41"/>
      <c r="CJ479" s="41"/>
      <c r="CK479" s="41"/>
      <c r="CL479" s="41"/>
      <c r="CM479" s="41"/>
      <c r="CN479" s="41"/>
      <c r="CO479" s="41"/>
      <c r="CP479" s="41"/>
      <c r="CQ479" s="41"/>
      <c r="CR479" s="41"/>
      <c r="CS479" s="41"/>
      <c r="CT479" s="41"/>
      <c r="CU479" s="41"/>
      <c r="CV479" s="41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  <c r="DG479" s="41"/>
      <c r="DH479" s="41"/>
      <c r="DI479" s="41"/>
      <c r="DJ479" s="41"/>
      <c r="DK479" s="41"/>
      <c r="DL479" s="41"/>
      <c r="DM479" s="41"/>
      <c r="DN479" s="41"/>
      <c r="DO479" s="41"/>
      <c r="DP479" s="41"/>
      <c r="DQ479" s="41"/>
      <c r="DR479" s="41"/>
      <c r="DS479" s="41"/>
      <c r="DT479" s="41"/>
      <c r="DU479" s="41"/>
      <c r="DV479" s="41"/>
      <c r="DW479" s="41"/>
      <c r="DX479" s="41"/>
      <c r="DY479" s="41"/>
      <c r="DZ479" s="41"/>
      <c r="EA479" s="41"/>
      <c r="EB479" s="41"/>
      <c r="EC479" s="41"/>
      <c r="ED479" s="41"/>
      <c r="EE479" s="41"/>
      <c r="EF479" s="41"/>
      <c r="EG479" s="41"/>
      <c r="EH479" s="41"/>
      <c r="EI479" s="41"/>
      <c r="EJ479" s="41"/>
      <c r="EK479" s="41"/>
      <c r="EL479" s="41"/>
      <c r="EM479" s="41"/>
      <c r="EN479" s="41"/>
      <c r="EO479" s="41"/>
      <c r="EP479" s="41"/>
      <c r="EQ479" s="41"/>
      <c r="ER479" s="41"/>
      <c r="ES479" s="41"/>
      <c r="ET479" s="41"/>
      <c r="EU479" s="41"/>
      <c r="EV479" s="41"/>
      <c r="EW479" s="41"/>
      <c r="EX479" s="41"/>
      <c r="EY479" s="41"/>
      <c r="EZ479" s="41"/>
      <c r="FA479" s="41"/>
      <c r="FB479" s="41"/>
      <c r="FC479" s="41"/>
      <c r="FD479" s="41"/>
      <c r="FE479" s="41"/>
    </row>
    <row r="480" spans="1:161" x14ac:dyDescent="0.25">
      <c r="A480" s="41"/>
      <c r="AC480" s="41"/>
      <c r="AD480" s="41"/>
      <c r="AE480" s="41"/>
      <c r="AF480" s="41"/>
      <c r="AG480" s="41"/>
      <c r="AH480" s="41"/>
      <c r="AI480" s="41"/>
      <c r="AJ480" s="41"/>
      <c r="AK480" s="41"/>
      <c r="BI480" s="41"/>
      <c r="BT480" s="48"/>
      <c r="BU480" s="47"/>
      <c r="CG480" s="48"/>
      <c r="CH480" s="41"/>
      <c r="CI480" s="41"/>
      <c r="CJ480" s="41"/>
      <c r="CK480" s="41"/>
      <c r="CL480" s="41"/>
      <c r="CM480" s="41"/>
      <c r="CN480" s="41"/>
      <c r="CO480" s="41"/>
      <c r="CP480" s="41"/>
      <c r="CQ480" s="41"/>
      <c r="CR480" s="41"/>
      <c r="CS480" s="41"/>
      <c r="CT480" s="41"/>
      <c r="CU480" s="41"/>
      <c r="CV480" s="41"/>
      <c r="CW480" s="41"/>
      <c r="CX480" s="41"/>
      <c r="CY480" s="41"/>
      <c r="CZ480" s="41"/>
      <c r="DA480" s="41"/>
      <c r="DB480" s="41"/>
      <c r="DC480" s="41"/>
      <c r="DD480" s="41"/>
      <c r="DE480" s="41"/>
      <c r="DF480" s="41"/>
      <c r="DG480" s="41"/>
      <c r="DH480" s="41"/>
      <c r="DI480" s="41"/>
      <c r="DJ480" s="41"/>
      <c r="DK480" s="41"/>
      <c r="DL480" s="41"/>
      <c r="DM480" s="41"/>
      <c r="DN480" s="41"/>
      <c r="DO480" s="41"/>
      <c r="DP480" s="41"/>
      <c r="DQ480" s="41"/>
      <c r="DR480" s="41"/>
      <c r="DS480" s="41"/>
      <c r="DT480" s="41"/>
      <c r="DU480" s="41"/>
      <c r="DV480" s="41"/>
      <c r="DW480" s="41"/>
      <c r="DX480" s="41"/>
      <c r="DY480" s="41"/>
      <c r="DZ480" s="41"/>
      <c r="EA480" s="41"/>
      <c r="EB480" s="41"/>
      <c r="EC480" s="41"/>
      <c r="ED480" s="41"/>
      <c r="EE480" s="41"/>
      <c r="EF480" s="41"/>
      <c r="EG480" s="41"/>
      <c r="EH480" s="41"/>
      <c r="EI480" s="41"/>
      <c r="EJ480" s="41"/>
      <c r="EK480" s="41"/>
      <c r="EL480" s="41"/>
      <c r="EM480" s="41"/>
      <c r="EN480" s="41"/>
      <c r="EO480" s="41"/>
      <c r="EP480" s="41"/>
      <c r="EQ480" s="41"/>
      <c r="ER480" s="41"/>
      <c r="ES480" s="41"/>
      <c r="ET480" s="41"/>
      <c r="EU480" s="41"/>
      <c r="EV480" s="41"/>
      <c r="EW480" s="41"/>
      <c r="EX480" s="41"/>
      <c r="EY480" s="41"/>
      <c r="EZ480" s="41"/>
      <c r="FA480" s="41"/>
      <c r="FB480" s="41"/>
      <c r="FC480" s="41"/>
      <c r="FD480" s="41"/>
      <c r="FE480" s="41"/>
    </row>
    <row r="481" spans="1:161" x14ac:dyDescent="0.25">
      <c r="A481" s="41"/>
      <c r="AC481" s="41"/>
      <c r="AD481" s="41"/>
      <c r="AE481" s="41"/>
      <c r="AF481" s="41"/>
      <c r="AG481" s="41"/>
      <c r="AH481" s="41"/>
      <c r="AI481" s="41"/>
      <c r="AJ481" s="41"/>
      <c r="AK481" s="41"/>
      <c r="BI481" s="41"/>
      <c r="BT481" s="48"/>
      <c r="BU481" s="47"/>
      <c r="CG481" s="48"/>
      <c r="CH481" s="41"/>
      <c r="CI481" s="41"/>
      <c r="CJ481" s="41"/>
      <c r="CK481" s="41"/>
      <c r="CL481" s="41"/>
      <c r="CM481" s="41"/>
      <c r="CN481" s="41"/>
      <c r="CO481" s="41"/>
      <c r="CP481" s="41"/>
      <c r="CQ481" s="41"/>
      <c r="CR481" s="41"/>
      <c r="CS481" s="41"/>
      <c r="CT481" s="41"/>
      <c r="CU481" s="41"/>
      <c r="CV481" s="41"/>
      <c r="CW481" s="41"/>
      <c r="CX481" s="41"/>
      <c r="CY481" s="41"/>
      <c r="CZ481" s="41"/>
      <c r="DA481" s="41"/>
      <c r="DB481" s="41"/>
      <c r="DC481" s="41"/>
      <c r="DD481" s="41"/>
      <c r="DE481" s="41"/>
      <c r="DF481" s="41"/>
      <c r="DG481" s="41"/>
      <c r="DH481" s="41"/>
      <c r="DI481" s="41"/>
      <c r="DJ481" s="41"/>
      <c r="DK481" s="41"/>
      <c r="DL481" s="41"/>
      <c r="DM481" s="41"/>
      <c r="DN481" s="41"/>
      <c r="DO481" s="41"/>
      <c r="DP481" s="41"/>
      <c r="DQ481" s="41"/>
      <c r="DR481" s="41"/>
      <c r="DS481" s="41"/>
      <c r="DT481" s="41"/>
      <c r="DU481" s="41"/>
      <c r="DV481" s="41"/>
      <c r="DW481" s="41"/>
      <c r="DX481" s="41"/>
      <c r="DY481" s="41"/>
      <c r="DZ481" s="41"/>
      <c r="EA481" s="41"/>
      <c r="EB481" s="41"/>
      <c r="EC481" s="41"/>
      <c r="ED481" s="41"/>
      <c r="EE481" s="41"/>
      <c r="EF481" s="41"/>
      <c r="EG481" s="41"/>
      <c r="EH481" s="41"/>
      <c r="EI481" s="41"/>
      <c r="EJ481" s="41"/>
      <c r="EK481" s="41"/>
      <c r="EL481" s="41"/>
      <c r="EM481" s="41"/>
      <c r="EN481" s="41"/>
      <c r="EO481" s="41"/>
      <c r="EP481" s="41"/>
      <c r="EQ481" s="41"/>
      <c r="ER481" s="41"/>
      <c r="ES481" s="41"/>
      <c r="ET481" s="41"/>
      <c r="EU481" s="41"/>
      <c r="EV481" s="41"/>
      <c r="EW481" s="41"/>
      <c r="EX481" s="41"/>
      <c r="EY481" s="41"/>
      <c r="EZ481" s="41"/>
      <c r="FA481" s="41"/>
      <c r="FB481" s="41"/>
      <c r="FC481" s="41"/>
      <c r="FD481" s="41"/>
      <c r="FE481" s="41"/>
    </row>
    <row r="482" spans="1:161" x14ac:dyDescent="0.25">
      <c r="A482" s="41"/>
      <c r="AC482" s="41"/>
      <c r="AD482" s="41"/>
      <c r="AE482" s="41"/>
      <c r="AF482" s="41"/>
      <c r="AG482" s="41"/>
      <c r="AH482" s="41"/>
      <c r="AI482" s="41"/>
      <c r="AJ482" s="41"/>
      <c r="AK482" s="41"/>
      <c r="BI482" s="41"/>
      <c r="BT482" s="48"/>
      <c r="BU482" s="47"/>
      <c r="CG482" s="48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  <c r="DG482" s="41"/>
      <c r="DH482" s="41"/>
      <c r="DI482" s="41"/>
      <c r="DJ482" s="41"/>
      <c r="DK482" s="41"/>
      <c r="DL482" s="41"/>
      <c r="DM482" s="41"/>
      <c r="DN482" s="41"/>
      <c r="DO482" s="41"/>
      <c r="DP482" s="41"/>
      <c r="DQ482" s="41"/>
      <c r="DR482" s="41"/>
      <c r="DS482" s="41"/>
      <c r="DT482" s="41"/>
      <c r="DU482" s="41"/>
      <c r="DV482" s="41"/>
      <c r="DW482" s="41"/>
      <c r="DX482" s="41"/>
      <c r="DY482" s="41"/>
      <c r="DZ482" s="41"/>
      <c r="EA482" s="41"/>
      <c r="EB482" s="41"/>
      <c r="EC482" s="41"/>
      <c r="ED482" s="41"/>
      <c r="EE482" s="41"/>
      <c r="EF482" s="41"/>
      <c r="EG482" s="41"/>
      <c r="EH482" s="41"/>
      <c r="EI482" s="41"/>
      <c r="EJ482" s="41"/>
      <c r="EK482" s="41"/>
      <c r="EL482" s="41"/>
      <c r="EM482" s="41"/>
      <c r="EN482" s="41"/>
      <c r="EO482" s="41"/>
      <c r="EP482" s="41"/>
      <c r="EQ482" s="41"/>
      <c r="ER482" s="41"/>
      <c r="ES482" s="41"/>
      <c r="ET482" s="41"/>
      <c r="EU482" s="41"/>
      <c r="EV482" s="41"/>
      <c r="EW482" s="41"/>
      <c r="EX482" s="41"/>
      <c r="EY482" s="41"/>
      <c r="EZ482" s="41"/>
      <c r="FA482" s="41"/>
      <c r="FB482" s="41"/>
      <c r="FC482" s="41"/>
      <c r="FD482" s="41"/>
      <c r="FE482" s="41"/>
    </row>
    <row r="483" spans="1:161" x14ac:dyDescent="0.25">
      <c r="A483" s="41"/>
      <c r="AC483" s="41"/>
      <c r="AD483" s="41"/>
      <c r="AE483" s="41"/>
      <c r="AF483" s="41"/>
      <c r="AG483" s="41"/>
      <c r="AH483" s="41"/>
      <c r="AI483" s="41"/>
      <c r="AJ483" s="41"/>
      <c r="AK483" s="41"/>
      <c r="BI483" s="41"/>
      <c r="BT483" s="48"/>
      <c r="BU483" s="47"/>
      <c r="CG483" s="48"/>
      <c r="CH483" s="41"/>
      <c r="CI483" s="41"/>
      <c r="CJ483" s="41"/>
      <c r="CK483" s="41"/>
      <c r="CL483" s="41"/>
      <c r="CM483" s="41"/>
      <c r="CN483" s="41"/>
      <c r="CO483" s="41"/>
      <c r="CP483" s="41"/>
      <c r="CQ483" s="41"/>
      <c r="CR483" s="41"/>
      <c r="CS483" s="41"/>
      <c r="CT483" s="41"/>
      <c r="CU483" s="41"/>
      <c r="CV483" s="41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  <c r="DG483" s="41"/>
      <c r="DH483" s="41"/>
      <c r="DI483" s="41"/>
      <c r="DJ483" s="41"/>
      <c r="DK483" s="41"/>
      <c r="DL483" s="41"/>
      <c r="DM483" s="41"/>
      <c r="DN483" s="41"/>
      <c r="DO483" s="41"/>
      <c r="DP483" s="41"/>
      <c r="DQ483" s="41"/>
      <c r="DR483" s="41"/>
      <c r="DS483" s="41"/>
      <c r="DT483" s="41"/>
      <c r="DU483" s="41"/>
      <c r="DV483" s="41"/>
      <c r="DW483" s="41"/>
      <c r="DX483" s="41"/>
      <c r="DY483" s="41"/>
      <c r="DZ483" s="41"/>
      <c r="EA483" s="41"/>
      <c r="EB483" s="41"/>
      <c r="EC483" s="41"/>
      <c r="ED483" s="41"/>
      <c r="EE483" s="41"/>
      <c r="EF483" s="41"/>
      <c r="EG483" s="41"/>
      <c r="EH483" s="41"/>
      <c r="EI483" s="41"/>
      <c r="EJ483" s="41"/>
      <c r="EK483" s="41"/>
      <c r="EL483" s="41"/>
      <c r="EM483" s="41"/>
      <c r="EN483" s="41"/>
      <c r="EO483" s="41"/>
      <c r="EP483" s="41"/>
      <c r="EQ483" s="41"/>
      <c r="ER483" s="41"/>
      <c r="ES483" s="41"/>
      <c r="ET483" s="41"/>
      <c r="EU483" s="41"/>
      <c r="EV483" s="41"/>
      <c r="EW483" s="41"/>
      <c r="EX483" s="41"/>
      <c r="EY483" s="41"/>
      <c r="EZ483" s="41"/>
      <c r="FA483" s="41"/>
      <c r="FB483" s="41"/>
      <c r="FC483" s="41"/>
      <c r="FD483" s="41"/>
      <c r="FE483" s="41"/>
    </row>
    <row r="484" spans="1:161" x14ac:dyDescent="0.25">
      <c r="A484" s="41"/>
      <c r="AC484" s="41"/>
      <c r="AD484" s="41"/>
      <c r="AE484" s="41"/>
      <c r="AF484" s="41"/>
      <c r="AG484" s="41"/>
      <c r="AH484" s="41"/>
      <c r="AI484" s="41"/>
      <c r="AJ484" s="41"/>
      <c r="AK484" s="41"/>
      <c r="BI484" s="41"/>
      <c r="BT484" s="48"/>
      <c r="BU484" s="47"/>
      <c r="CG484" s="48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  <c r="DG484" s="41"/>
      <c r="DH484" s="41"/>
      <c r="DI484" s="41"/>
      <c r="DJ484" s="41"/>
      <c r="DK484" s="41"/>
      <c r="DL484" s="41"/>
      <c r="DM484" s="41"/>
      <c r="DN484" s="41"/>
      <c r="DO484" s="41"/>
      <c r="DP484" s="41"/>
      <c r="DQ484" s="41"/>
      <c r="DR484" s="41"/>
      <c r="DS484" s="41"/>
      <c r="DT484" s="41"/>
      <c r="DU484" s="41"/>
      <c r="DV484" s="41"/>
      <c r="DW484" s="41"/>
      <c r="DX484" s="41"/>
      <c r="DY484" s="41"/>
      <c r="DZ484" s="41"/>
      <c r="EA484" s="41"/>
      <c r="EB484" s="41"/>
      <c r="EC484" s="41"/>
      <c r="ED484" s="41"/>
      <c r="EE484" s="41"/>
      <c r="EF484" s="41"/>
      <c r="EG484" s="41"/>
      <c r="EH484" s="41"/>
      <c r="EI484" s="41"/>
      <c r="EJ484" s="41"/>
      <c r="EK484" s="41"/>
      <c r="EL484" s="41"/>
      <c r="EM484" s="41"/>
      <c r="EN484" s="41"/>
      <c r="EO484" s="41"/>
      <c r="EP484" s="41"/>
      <c r="EQ484" s="41"/>
      <c r="ER484" s="41"/>
      <c r="ES484" s="41"/>
      <c r="ET484" s="41"/>
      <c r="EU484" s="41"/>
      <c r="EV484" s="41"/>
      <c r="EW484" s="41"/>
      <c r="EX484" s="41"/>
      <c r="EY484" s="41"/>
      <c r="EZ484" s="41"/>
      <c r="FA484" s="41"/>
      <c r="FB484" s="41"/>
      <c r="FC484" s="41"/>
      <c r="FD484" s="41"/>
      <c r="FE484" s="41"/>
    </row>
    <row r="485" spans="1:161" x14ac:dyDescent="0.25">
      <c r="A485" s="41"/>
      <c r="AC485" s="41"/>
      <c r="AD485" s="41"/>
      <c r="AE485" s="41"/>
      <c r="AF485" s="41"/>
      <c r="AG485" s="41"/>
      <c r="AH485" s="41"/>
      <c r="AI485" s="41"/>
      <c r="AJ485" s="41"/>
      <c r="AK485" s="41"/>
      <c r="BI485" s="41"/>
      <c r="BT485" s="48"/>
      <c r="BU485" s="47"/>
      <c r="CG485" s="48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1"/>
      <c r="DJ485" s="41"/>
      <c r="DK485" s="41"/>
      <c r="DL485" s="41"/>
      <c r="DM485" s="41"/>
      <c r="DN485" s="41"/>
      <c r="DO485" s="41"/>
      <c r="DP485" s="41"/>
      <c r="DQ485" s="41"/>
      <c r="DR485" s="41"/>
      <c r="DS485" s="41"/>
      <c r="DT485" s="41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  <c r="EL485" s="41"/>
      <c r="EM485" s="41"/>
      <c r="EN485" s="41"/>
      <c r="EO485" s="41"/>
      <c r="EP485" s="41"/>
      <c r="EQ485" s="41"/>
      <c r="ER485" s="41"/>
      <c r="ES485" s="41"/>
      <c r="ET485" s="41"/>
      <c r="EU485" s="41"/>
      <c r="EV485" s="41"/>
      <c r="EW485" s="41"/>
      <c r="EX485" s="41"/>
      <c r="EY485" s="41"/>
      <c r="EZ485" s="41"/>
      <c r="FA485" s="41"/>
      <c r="FB485" s="41"/>
      <c r="FC485" s="41"/>
      <c r="FD485" s="41"/>
      <c r="FE485" s="41"/>
    </row>
    <row r="486" spans="1:161" x14ac:dyDescent="0.25">
      <c r="A486" s="41"/>
      <c r="AC486" s="41"/>
      <c r="AD486" s="41"/>
      <c r="AE486" s="41"/>
      <c r="AF486" s="41"/>
      <c r="AG486" s="41"/>
      <c r="AH486" s="41"/>
      <c r="AI486" s="41"/>
      <c r="AJ486" s="41"/>
      <c r="AK486" s="41"/>
      <c r="BI486" s="41"/>
      <c r="BT486" s="48"/>
      <c r="BU486" s="47"/>
      <c r="CG486" s="48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  <c r="DG486" s="41"/>
      <c r="DH486" s="41"/>
      <c r="DI486" s="41"/>
      <c r="DJ486" s="41"/>
      <c r="DK486" s="41"/>
      <c r="DL486" s="41"/>
      <c r="DM486" s="41"/>
      <c r="DN486" s="41"/>
      <c r="DO486" s="41"/>
      <c r="DP486" s="41"/>
      <c r="DQ486" s="41"/>
      <c r="DR486" s="41"/>
      <c r="DS486" s="41"/>
      <c r="DT486" s="41"/>
      <c r="DU486" s="41"/>
      <c r="DV486" s="41"/>
      <c r="DW486" s="41"/>
      <c r="DX486" s="41"/>
      <c r="DY486" s="41"/>
      <c r="DZ486" s="41"/>
      <c r="EA486" s="41"/>
      <c r="EB486" s="41"/>
      <c r="EC486" s="41"/>
      <c r="ED486" s="41"/>
      <c r="EE486" s="41"/>
      <c r="EF486" s="41"/>
      <c r="EG486" s="41"/>
      <c r="EH486" s="41"/>
      <c r="EI486" s="41"/>
      <c r="EJ486" s="41"/>
      <c r="EK486" s="41"/>
      <c r="EL486" s="41"/>
      <c r="EM486" s="41"/>
      <c r="EN486" s="41"/>
      <c r="EO486" s="41"/>
      <c r="EP486" s="41"/>
      <c r="EQ486" s="41"/>
      <c r="ER486" s="41"/>
      <c r="ES486" s="41"/>
      <c r="ET486" s="41"/>
      <c r="EU486" s="41"/>
      <c r="EV486" s="41"/>
      <c r="EW486" s="41"/>
      <c r="EX486" s="41"/>
      <c r="EY486" s="41"/>
      <c r="EZ486" s="41"/>
      <c r="FA486" s="41"/>
      <c r="FB486" s="41"/>
      <c r="FC486" s="41"/>
      <c r="FD486" s="41"/>
      <c r="FE486" s="41"/>
    </row>
    <row r="487" spans="1:161" x14ac:dyDescent="0.25">
      <c r="A487" s="41"/>
      <c r="AC487" s="41"/>
      <c r="AD487" s="41"/>
      <c r="AE487" s="41"/>
      <c r="AF487" s="41"/>
      <c r="AG487" s="41"/>
      <c r="AH487" s="41"/>
      <c r="AI487" s="41"/>
      <c r="AJ487" s="41"/>
      <c r="AK487" s="41"/>
      <c r="BI487" s="41"/>
      <c r="BT487" s="48"/>
      <c r="BU487" s="47"/>
      <c r="CG487" s="48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  <c r="DG487" s="41"/>
      <c r="DH487" s="41"/>
      <c r="DI487" s="41"/>
      <c r="DJ487" s="41"/>
      <c r="DK487" s="41"/>
      <c r="DL487" s="41"/>
      <c r="DM487" s="41"/>
      <c r="DN487" s="41"/>
      <c r="DO487" s="41"/>
      <c r="DP487" s="41"/>
      <c r="DQ487" s="41"/>
      <c r="DR487" s="41"/>
      <c r="DS487" s="41"/>
      <c r="DT487" s="41"/>
      <c r="DU487" s="41"/>
      <c r="DV487" s="41"/>
      <c r="DW487" s="41"/>
      <c r="DX487" s="41"/>
      <c r="DY487" s="41"/>
      <c r="DZ487" s="41"/>
      <c r="EA487" s="41"/>
      <c r="EB487" s="41"/>
      <c r="EC487" s="41"/>
      <c r="ED487" s="41"/>
      <c r="EE487" s="41"/>
      <c r="EF487" s="41"/>
      <c r="EG487" s="41"/>
      <c r="EH487" s="41"/>
      <c r="EI487" s="41"/>
      <c r="EJ487" s="41"/>
      <c r="EK487" s="41"/>
      <c r="EL487" s="41"/>
      <c r="EM487" s="41"/>
      <c r="EN487" s="41"/>
      <c r="EO487" s="41"/>
      <c r="EP487" s="41"/>
      <c r="EQ487" s="41"/>
      <c r="ER487" s="41"/>
      <c r="ES487" s="41"/>
      <c r="ET487" s="41"/>
      <c r="EU487" s="41"/>
      <c r="EV487" s="41"/>
      <c r="EW487" s="41"/>
      <c r="EX487" s="41"/>
      <c r="EY487" s="41"/>
      <c r="EZ487" s="41"/>
      <c r="FA487" s="41"/>
      <c r="FB487" s="41"/>
      <c r="FC487" s="41"/>
      <c r="FD487" s="41"/>
      <c r="FE487" s="41"/>
    </row>
    <row r="488" spans="1:161" x14ac:dyDescent="0.25">
      <c r="A488" s="41"/>
      <c r="AC488" s="41"/>
      <c r="AD488" s="41"/>
      <c r="AE488" s="41"/>
      <c r="AF488" s="41"/>
      <c r="AG488" s="41"/>
      <c r="AH488" s="41"/>
      <c r="AI488" s="41"/>
      <c r="AJ488" s="41"/>
      <c r="AK488" s="41"/>
      <c r="BI488" s="41"/>
      <c r="BT488" s="48"/>
      <c r="BU488" s="47"/>
      <c r="CG488" s="48"/>
      <c r="CH488" s="41"/>
      <c r="CI488" s="41"/>
      <c r="CJ488" s="41"/>
      <c r="CK488" s="41"/>
      <c r="CL488" s="41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C488" s="41"/>
      <c r="DD488" s="41"/>
      <c r="DE488" s="41"/>
      <c r="DF488" s="41"/>
      <c r="DG488" s="41"/>
      <c r="DH488" s="41"/>
      <c r="DI488" s="41"/>
      <c r="DJ488" s="41"/>
      <c r="DK488" s="41"/>
      <c r="DL488" s="41"/>
      <c r="DM488" s="41"/>
      <c r="DN488" s="41"/>
      <c r="DO488" s="41"/>
      <c r="DP488" s="41"/>
      <c r="DQ488" s="41"/>
      <c r="DR488" s="41"/>
      <c r="DS488" s="41"/>
      <c r="DT488" s="41"/>
      <c r="DU488" s="41"/>
      <c r="DV488" s="41"/>
      <c r="DW488" s="41"/>
      <c r="DX488" s="41"/>
      <c r="DY488" s="41"/>
      <c r="DZ488" s="41"/>
      <c r="EA488" s="41"/>
      <c r="EB488" s="41"/>
      <c r="EC488" s="41"/>
      <c r="ED488" s="41"/>
      <c r="EE488" s="41"/>
      <c r="EF488" s="41"/>
      <c r="EG488" s="41"/>
      <c r="EH488" s="41"/>
      <c r="EI488" s="41"/>
      <c r="EJ488" s="41"/>
      <c r="EK488" s="41"/>
      <c r="EL488" s="41"/>
      <c r="EM488" s="41"/>
      <c r="EN488" s="41"/>
      <c r="EO488" s="41"/>
      <c r="EP488" s="41"/>
      <c r="EQ488" s="41"/>
      <c r="ER488" s="41"/>
      <c r="ES488" s="41"/>
      <c r="ET488" s="41"/>
      <c r="EU488" s="41"/>
      <c r="EV488" s="41"/>
      <c r="EW488" s="41"/>
      <c r="EX488" s="41"/>
      <c r="EY488" s="41"/>
      <c r="EZ488" s="41"/>
      <c r="FA488" s="41"/>
      <c r="FB488" s="41"/>
      <c r="FC488" s="41"/>
      <c r="FD488" s="41"/>
      <c r="FE488" s="41"/>
    </row>
    <row r="489" spans="1:161" x14ac:dyDescent="0.25">
      <c r="A489" s="41"/>
      <c r="AC489" s="41"/>
      <c r="AD489" s="41"/>
      <c r="AE489" s="41"/>
      <c r="AF489" s="41"/>
      <c r="AG489" s="41"/>
      <c r="AH489" s="41"/>
      <c r="AI489" s="41"/>
      <c r="AJ489" s="41"/>
      <c r="AK489" s="41"/>
      <c r="BI489" s="41"/>
      <c r="BT489" s="48"/>
      <c r="BU489" s="47"/>
      <c r="CG489" s="48"/>
      <c r="CH489" s="41"/>
      <c r="CI489" s="41"/>
      <c r="CJ489" s="41"/>
      <c r="CK489" s="41"/>
      <c r="CL489" s="41"/>
      <c r="CM489" s="41"/>
      <c r="CN489" s="41"/>
      <c r="CO489" s="41"/>
      <c r="CP489" s="41"/>
      <c r="CQ489" s="41"/>
      <c r="CR489" s="41"/>
      <c r="CS489" s="41"/>
      <c r="CT489" s="41"/>
      <c r="CU489" s="41"/>
      <c r="CV489" s="41"/>
      <c r="CW489" s="41"/>
      <c r="CX489" s="41"/>
      <c r="CY489" s="41"/>
      <c r="CZ489" s="41"/>
      <c r="DA489" s="41"/>
      <c r="DB489" s="41"/>
      <c r="DC489" s="41"/>
      <c r="DD489" s="41"/>
      <c r="DE489" s="41"/>
      <c r="DF489" s="41"/>
      <c r="DG489" s="41"/>
      <c r="DH489" s="41"/>
      <c r="DI489" s="41"/>
      <c r="DJ489" s="41"/>
      <c r="DK489" s="41"/>
      <c r="DL489" s="41"/>
      <c r="DM489" s="41"/>
      <c r="DN489" s="41"/>
      <c r="DO489" s="41"/>
      <c r="DP489" s="41"/>
      <c r="DQ489" s="41"/>
      <c r="DR489" s="41"/>
      <c r="DS489" s="41"/>
      <c r="DT489" s="41"/>
      <c r="DU489" s="41"/>
      <c r="DV489" s="41"/>
      <c r="DW489" s="41"/>
      <c r="DX489" s="41"/>
      <c r="DY489" s="41"/>
      <c r="DZ489" s="41"/>
      <c r="EA489" s="41"/>
      <c r="EB489" s="41"/>
      <c r="EC489" s="41"/>
      <c r="ED489" s="41"/>
      <c r="EE489" s="41"/>
      <c r="EF489" s="41"/>
      <c r="EG489" s="41"/>
      <c r="EH489" s="41"/>
      <c r="EI489" s="41"/>
      <c r="EJ489" s="41"/>
      <c r="EK489" s="41"/>
      <c r="EL489" s="41"/>
      <c r="EM489" s="41"/>
      <c r="EN489" s="41"/>
      <c r="EO489" s="41"/>
      <c r="EP489" s="41"/>
      <c r="EQ489" s="41"/>
      <c r="ER489" s="41"/>
      <c r="ES489" s="41"/>
      <c r="ET489" s="41"/>
      <c r="EU489" s="41"/>
      <c r="EV489" s="41"/>
      <c r="EW489" s="41"/>
      <c r="EX489" s="41"/>
      <c r="EY489" s="41"/>
      <c r="EZ489" s="41"/>
      <c r="FA489" s="41"/>
      <c r="FB489" s="41"/>
      <c r="FC489" s="41"/>
      <c r="FD489" s="41"/>
      <c r="FE489" s="41"/>
    </row>
    <row r="490" spans="1:161" x14ac:dyDescent="0.25">
      <c r="A490" s="41"/>
      <c r="AC490" s="41"/>
      <c r="AD490" s="41"/>
      <c r="AE490" s="41"/>
      <c r="AF490" s="41"/>
      <c r="AG490" s="41"/>
      <c r="AH490" s="41"/>
      <c r="AI490" s="41"/>
      <c r="AJ490" s="41"/>
      <c r="AK490" s="41"/>
      <c r="BI490" s="41"/>
      <c r="BT490" s="48"/>
      <c r="BU490" s="47"/>
      <c r="CG490" s="48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  <c r="DG490" s="41"/>
      <c r="DH490" s="41"/>
      <c r="DI490" s="41"/>
      <c r="DJ490" s="41"/>
      <c r="DK490" s="41"/>
      <c r="DL490" s="41"/>
      <c r="DM490" s="41"/>
      <c r="DN490" s="41"/>
      <c r="DO490" s="41"/>
      <c r="DP490" s="41"/>
      <c r="DQ490" s="41"/>
      <c r="DR490" s="41"/>
      <c r="DS490" s="41"/>
      <c r="DT490" s="41"/>
      <c r="DU490" s="41"/>
      <c r="DV490" s="41"/>
      <c r="DW490" s="41"/>
      <c r="DX490" s="41"/>
      <c r="DY490" s="41"/>
      <c r="DZ490" s="41"/>
      <c r="EA490" s="41"/>
      <c r="EB490" s="41"/>
      <c r="EC490" s="41"/>
      <c r="ED490" s="41"/>
      <c r="EE490" s="41"/>
      <c r="EF490" s="41"/>
      <c r="EG490" s="41"/>
      <c r="EH490" s="41"/>
      <c r="EI490" s="41"/>
      <c r="EJ490" s="41"/>
      <c r="EK490" s="41"/>
      <c r="EL490" s="41"/>
      <c r="EM490" s="41"/>
      <c r="EN490" s="41"/>
      <c r="EO490" s="41"/>
      <c r="EP490" s="41"/>
      <c r="EQ490" s="41"/>
      <c r="ER490" s="41"/>
      <c r="ES490" s="41"/>
      <c r="ET490" s="41"/>
      <c r="EU490" s="41"/>
      <c r="EV490" s="41"/>
      <c r="EW490" s="41"/>
      <c r="EX490" s="41"/>
      <c r="EY490" s="41"/>
      <c r="EZ490" s="41"/>
      <c r="FA490" s="41"/>
      <c r="FB490" s="41"/>
      <c r="FC490" s="41"/>
      <c r="FD490" s="41"/>
      <c r="FE490" s="41"/>
    </row>
    <row r="491" spans="1:161" x14ac:dyDescent="0.25">
      <c r="A491" s="41"/>
      <c r="AC491" s="41"/>
      <c r="AD491" s="41"/>
      <c r="AE491" s="41"/>
      <c r="AF491" s="41"/>
      <c r="AG491" s="41"/>
      <c r="AH491" s="41"/>
      <c r="AI491" s="41"/>
      <c r="AJ491" s="41"/>
      <c r="AK491" s="41"/>
      <c r="BI491" s="41"/>
      <c r="BT491" s="48"/>
      <c r="BU491" s="47"/>
      <c r="CG491" s="48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  <c r="DG491" s="41"/>
      <c r="DH491" s="41"/>
      <c r="DI491" s="41"/>
      <c r="DJ491" s="41"/>
      <c r="DK491" s="41"/>
      <c r="DL491" s="41"/>
      <c r="DM491" s="41"/>
      <c r="DN491" s="41"/>
      <c r="DO491" s="41"/>
      <c r="DP491" s="41"/>
      <c r="DQ491" s="41"/>
      <c r="DR491" s="41"/>
      <c r="DS491" s="41"/>
      <c r="DT491" s="41"/>
      <c r="DU491" s="41"/>
      <c r="DV491" s="41"/>
      <c r="DW491" s="41"/>
      <c r="DX491" s="41"/>
      <c r="DY491" s="41"/>
      <c r="DZ491" s="41"/>
      <c r="EA491" s="41"/>
      <c r="EB491" s="41"/>
      <c r="EC491" s="41"/>
      <c r="ED491" s="41"/>
      <c r="EE491" s="41"/>
      <c r="EF491" s="41"/>
      <c r="EG491" s="41"/>
      <c r="EH491" s="41"/>
      <c r="EI491" s="41"/>
      <c r="EJ491" s="41"/>
      <c r="EK491" s="41"/>
      <c r="EL491" s="41"/>
      <c r="EM491" s="41"/>
      <c r="EN491" s="41"/>
      <c r="EO491" s="41"/>
      <c r="EP491" s="41"/>
      <c r="EQ491" s="41"/>
      <c r="ER491" s="41"/>
      <c r="ES491" s="41"/>
      <c r="ET491" s="41"/>
      <c r="EU491" s="41"/>
      <c r="EV491" s="41"/>
      <c r="EW491" s="41"/>
      <c r="EX491" s="41"/>
      <c r="EY491" s="41"/>
      <c r="EZ491" s="41"/>
      <c r="FA491" s="41"/>
      <c r="FB491" s="41"/>
      <c r="FC491" s="41"/>
      <c r="FD491" s="41"/>
      <c r="FE491" s="41"/>
    </row>
    <row r="492" spans="1:161" x14ac:dyDescent="0.25">
      <c r="A492" s="41"/>
      <c r="AC492" s="41"/>
      <c r="AD492" s="41"/>
      <c r="AE492" s="41"/>
      <c r="AF492" s="41"/>
      <c r="AG492" s="41"/>
      <c r="AH492" s="41"/>
      <c r="AI492" s="41"/>
      <c r="AJ492" s="41"/>
      <c r="AK492" s="41"/>
      <c r="BI492" s="41"/>
      <c r="BT492" s="48"/>
      <c r="BU492" s="47"/>
      <c r="CG492" s="48"/>
      <c r="CH492" s="41"/>
      <c r="CI492" s="41"/>
      <c r="CJ492" s="41"/>
      <c r="CK492" s="41"/>
      <c r="CL492" s="41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  <c r="DG492" s="41"/>
      <c r="DH492" s="41"/>
      <c r="DI492" s="41"/>
      <c r="DJ492" s="41"/>
      <c r="DK492" s="41"/>
      <c r="DL492" s="41"/>
      <c r="DM492" s="41"/>
      <c r="DN492" s="41"/>
      <c r="DO492" s="41"/>
      <c r="DP492" s="41"/>
      <c r="DQ492" s="41"/>
      <c r="DR492" s="41"/>
      <c r="DS492" s="41"/>
      <c r="DT492" s="41"/>
      <c r="DU492" s="41"/>
      <c r="DV492" s="41"/>
      <c r="DW492" s="41"/>
      <c r="DX492" s="41"/>
      <c r="DY492" s="41"/>
      <c r="DZ492" s="41"/>
      <c r="EA492" s="41"/>
      <c r="EB492" s="41"/>
      <c r="EC492" s="41"/>
      <c r="ED492" s="41"/>
      <c r="EE492" s="41"/>
      <c r="EF492" s="41"/>
      <c r="EG492" s="41"/>
      <c r="EH492" s="41"/>
      <c r="EI492" s="41"/>
      <c r="EJ492" s="41"/>
      <c r="EK492" s="41"/>
      <c r="EL492" s="41"/>
      <c r="EM492" s="41"/>
      <c r="EN492" s="41"/>
      <c r="EO492" s="41"/>
      <c r="EP492" s="41"/>
      <c r="EQ492" s="41"/>
      <c r="ER492" s="41"/>
      <c r="ES492" s="41"/>
      <c r="ET492" s="41"/>
      <c r="EU492" s="41"/>
      <c r="EV492" s="41"/>
      <c r="EW492" s="41"/>
      <c r="EX492" s="41"/>
      <c r="EY492" s="41"/>
      <c r="EZ492" s="41"/>
      <c r="FA492" s="41"/>
      <c r="FB492" s="41"/>
      <c r="FC492" s="41"/>
      <c r="FD492" s="41"/>
      <c r="FE492" s="41"/>
    </row>
    <row r="493" spans="1:161" x14ac:dyDescent="0.25">
      <c r="A493" s="41"/>
      <c r="AC493" s="41"/>
      <c r="AD493" s="41"/>
      <c r="AE493" s="41"/>
      <c r="AF493" s="41"/>
      <c r="AG493" s="41"/>
      <c r="AH493" s="41"/>
      <c r="AI493" s="41"/>
      <c r="AJ493" s="41"/>
      <c r="AK493" s="41"/>
      <c r="BI493" s="41"/>
      <c r="BT493" s="48"/>
      <c r="BU493" s="47"/>
      <c r="CG493" s="48"/>
      <c r="CH493" s="41"/>
      <c r="CI493" s="41"/>
      <c r="CJ493" s="41"/>
      <c r="CK493" s="41"/>
      <c r="CL493" s="41"/>
      <c r="CM493" s="41"/>
      <c r="CN493" s="41"/>
      <c r="CO493" s="41"/>
      <c r="CP493" s="41"/>
      <c r="CQ493" s="41"/>
      <c r="CR493" s="41"/>
      <c r="CS493" s="41"/>
      <c r="CT493" s="41"/>
      <c r="CU493" s="41"/>
      <c r="CV493" s="41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  <c r="DG493" s="41"/>
      <c r="DH493" s="41"/>
      <c r="DI493" s="41"/>
      <c r="DJ493" s="41"/>
      <c r="DK493" s="41"/>
      <c r="DL493" s="41"/>
      <c r="DM493" s="41"/>
      <c r="DN493" s="41"/>
      <c r="DO493" s="41"/>
      <c r="DP493" s="41"/>
      <c r="DQ493" s="41"/>
      <c r="DR493" s="41"/>
      <c r="DS493" s="41"/>
      <c r="DT493" s="41"/>
      <c r="DU493" s="41"/>
      <c r="DV493" s="41"/>
      <c r="DW493" s="41"/>
      <c r="DX493" s="41"/>
      <c r="DY493" s="41"/>
      <c r="DZ493" s="41"/>
      <c r="EA493" s="41"/>
      <c r="EB493" s="41"/>
      <c r="EC493" s="41"/>
      <c r="ED493" s="41"/>
      <c r="EE493" s="41"/>
      <c r="EF493" s="41"/>
      <c r="EG493" s="41"/>
      <c r="EH493" s="41"/>
      <c r="EI493" s="41"/>
      <c r="EJ493" s="41"/>
      <c r="EK493" s="41"/>
      <c r="EL493" s="41"/>
      <c r="EM493" s="41"/>
      <c r="EN493" s="41"/>
      <c r="EO493" s="41"/>
      <c r="EP493" s="41"/>
      <c r="EQ493" s="41"/>
      <c r="ER493" s="41"/>
      <c r="ES493" s="41"/>
      <c r="ET493" s="41"/>
      <c r="EU493" s="41"/>
      <c r="EV493" s="41"/>
      <c r="EW493" s="41"/>
      <c r="EX493" s="41"/>
      <c r="EY493" s="41"/>
      <c r="EZ493" s="41"/>
      <c r="FA493" s="41"/>
      <c r="FB493" s="41"/>
      <c r="FC493" s="41"/>
      <c r="FD493" s="41"/>
      <c r="FE493" s="41"/>
    </row>
    <row r="494" spans="1:161" x14ac:dyDescent="0.25">
      <c r="A494" s="41"/>
      <c r="AC494" s="41"/>
      <c r="AD494" s="41"/>
      <c r="AE494" s="41"/>
      <c r="AF494" s="41"/>
      <c r="AG494" s="41"/>
      <c r="AH494" s="41"/>
      <c r="AI494" s="41"/>
      <c r="AJ494" s="41"/>
      <c r="AK494" s="41"/>
      <c r="BI494" s="41"/>
      <c r="BT494" s="48"/>
      <c r="BU494" s="47"/>
      <c r="CG494" s="48"/>
      <c r="CH494" s="41"/>
      <c r="CI494" s="41"/>
      <c r="CJ494" s="41"/>
      <c r="CK494" s="41"/>
      <c r="CL494" s="41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  <c r="DG494" s="41"/>
      <c r="DH494" s="41"/>
      <c r="DI494" s="41"/>
      <c r="DJ494" s="41"/>
      <c r="DK494" s="41"/>
      <c r="DL494" s="41"/>
      <c r="DM494" s="41"/>
      <c r="DN494" s="41"/>
      <c r="DO494" s="41"/>
      <c r="DP494" s="41"/>
      <c r="DQ494" s="41"/>
      <c r="DR494" s="41"/>
      <c r="DS494" s="41"/>
      <c r="DT494" s="41"/>
      <c r="DU494" s="41"/>
      <c r="DV494" s="41"/>
      <c r="DW494" s="41"/>
      <c r="DX494" s="41"/>
      <c r="DY494" s="41"/>
      <c r="DZ494" s="41"/>
      <c r="EA494" s="41"/>
      <c r="EB494" s="41"/>
      <c r="EC494" s="41"/>
      <c r="ED494" s="41"/>
      <c r="EE494" s="41"/>
      <c r="EF494" s="41"/>
      <c r="EG494" s="41"/>
      <c r="EH494" s="41"/>
      <c r="EI494" s="41"/>
      <c r="EJ494" s="41"/>
      <c r="EK494" s="41"/>
      <c r="EL494" s="41"/>
      <c r="EM494" s="41"/>
      <c r="EN494" s="41"/>
      <c r="EO494" s="41"/>
      <c r="EP494" s="41"/>
      <c r="EQ494" s="41"/>
      <c r="ER494" s="41"/>
      <c r="ES494" s="41"/>
      <c r="ET494" s="41"/>
      <c r="EU494" s="41"/>
      <c r="EV494" s="41"/>
      <c r="EW494" s="41"/>
      <c r="EX494" s="41"/>
      <c r="EY494" s="41"/>
      <c r="EZ494" s="41"/>
      <c r="FA494" s="41"/>
      <c r="FB494" s="41"/>
      <c r="FC494" s="41"/>
      <c r="FD494" s="41"/>
      <c r="FE494" s="41"/>
    </row>
    <row r="495" spans="1:161" x14ac:dyDescent="0.25">
      <c r="A495" s="41"/>
      <c r="AC495" s="41"/>
      <c r="AD495" s="41"/>
      <c r="AE495" s="41"/>
      <c r="AF495" s="41"/>
      <c r="AG495" s="41"/>
      <c r="AH495" s="41"/>
      <c r="AI495" s="41"/>
      <c r="AJ495" s="41"/>
      <c r="AK495" s="41"/>
      <c r="BI495" s="41"/>
      <c r="BT495" s="48"/>
      <c r="BU495" s="47"/>
      <c r="CG495" s="48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  <c r="DG495" s="41"/>
      <c r="DH495" s="41"/>
      <c r="DI495" s="41"/>
      <c r="DJ495" s="41"/>
      <c r="DK495" s="41"/>
      <c r="DL495" s="41"/>
      <c r="DM495" s="41"/>
      <c r="DN495" s="41"/>
      <c r="DO495" s="41"/>
      <c r="DP495" s="41"/>
      <c r="DQ495" s="41"/>
      <c r="DR495" s="41"/>
      <c r="DS495" s="41"/>
      <c r="DT495" s="41"/>
      <c r="DU495" s="41"/>
      <c r="DV495" s="41"/>
      <c r="DW495" s="41"/>
      <c r="DX495" s="41"/>
      <c r="DY495" s="41"/>
      <c r="DZ495" s="41"/>
      <c r="EA495" s="41"/>
      <c r="EB495" s="41"/>
      <c r="EC495" s="41"/>
      <c r="ED495" s="41"/>
      <c r="EE495" s="41"/>
      <c r="EF495" s="41"/>
      <c r="EG495" s="41"/>
      <c r="EH495" s="41"/>
      <c r="EI495" s="41"/>
      <c r="EJ495" s="41"/>
      <c r="EK495" s="41"/>
      <c r="EL495" s="41"/>
      <c r="EM495" s="41"/>
      <c r="EN495" s="41"/>
      <c r="EO495" s="41"/>
      <c r="EP495" s="41"/>
      <c r="EQ495" s="41"/>
      <c r="ER495" s="41"/>
      <c r="ES495" s="41"/>
      <c r="ET495" s="41"/>
      <c r="EU495" s="41"/>
      <c r="EV495" s="41"/>
      <c r="EW495" s="41"/>
      <c r="EX495" s="41"/>
      <c r="EY495" s="41"/>
      <c r="EZ495" s="41"/>
      <c r="FA495" s="41"/>
      <c r="FB495" s="41"/>
      <c r="FC495" s="41"/>
      <c r="FD495" s="41"/>
      <c r="FE495" s="41"/>
    </row>
    <row r="496" spans="1:161" x14ac:dyDescent="0.25">
      <c r="A496" s="41"/>
      <c r="AC496" s="41"/>
      <c r="AD496" s="41"/>
      <c r="AE496" s="41"/>
      <c r="AF496" s="41"/>
      <c r="AG496" s="41"/>
      <c r="AH496" s="41"/>
      <c r="AI496" s="41"/>
      <c r="AJ496" s="41"/>
      <c r="AK496" s="41"/>
      <c r="BI496" s="41"/>
      <c r="BT496" s="48"/>
      <c r="BU496" s="47"/>
      <c r="CG496" s="48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1"/>
      <c r="DJ496" s="41"/>
      <c r="DK496" s="41"/>
      <c r="DL496" s="41"/>
      <c r="DM496" s="41"/>
      <c r="DN496" s="41"/>
      <c r="DO496" s="41"/>
      <c r="DP496" s="41"/>
      <c r="DQ496" s="41"/>
      <c r="DR496" s="41"/>
      <c r="DS496" s="41"/>
      <c r="DT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  <c r="EE496" s="41"/>
      <c r="EF496" s="41"/>
      <c r="EG496" s="41"/>
      <c r="EH496" s="41"/>
      <c r="EI496" s="41"/>
      <c r="EJ496" s="41"/>
      <c r="EK496" s="41"/>
      <c r="EL496" s="41"/>
      <c r="EM496" s="41"/>
      <c r="EN496" s="41"/>
      <c r="EO496" s="41"/>
      <c r="EP496" s="41"/>
      <c r="EQ496" s="41"/>
      <c r="ER496" s="41"/>
      <c r="ES496" s="41"/>
      <c r="ET496" s="41"/>
      <c r="EU496" s="41"/>
      <c r="EV496" s="41"/>
      <c r="EW496" s="41"/>
      <c r="EX496" s="41"/>
      <c r="EY496" s="41"/>
      <c r="EZ496" s="41"/>
      <c r="FA496" s="41"/>
      <c r="FB496" s="41"/>
      <c r="FC496" s="41"/>
      <c r="FD496" s="41"/>
      <c r="FE496" s="41"/>
    </row>
    <row r="497" spans="1:161" x14ac:dyDescent="0.25">
      <c r="A497" s="41"/>
      <c r="AC497" s="41"/>
      <c r="AD497" s="41"/>
      <c r="AE497" s="41"/>
      <c r="AF497" s="41"/>
      <c r="AG497" s="41"/>
      <c r="AH497" s="41"/>
      <c r="AI497" s="41"/>
      <c r="AJ497" s="41"/>
      <c r="AK497" s="41"/>
      <c r="BI497" s="41"/>
      <c r="BT497" s="48"/>
      <c r="BU497" s="47"/>
      <c r="CG497" s="48"/>
      <c r="CH497" s="41"/>
      <c r="CI497" s="41"/>
      <c r="CJ497" s="41"/>
      <c r="CK497" s="41"/>
      <c r="CL497" s="41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  <c r="DG497" s="41"/>
      <c r="DH497" s="41"/>
      <c r="DI497" s="41"/>
      <c r="DJ497" s="41"/>
      <c r="DK497" s="41"/>
      <c r="DL497" s="41"/>
      <c r="DM497" s="41"/>
      <c r="DN497" s="41"/>
      <c r="DO497" s="41"/>
      <c r="DP497" s="41"/>
      <c r="DQ497" s="41"/>
      <c r="DR497" s="41"/>
      <c r="DS497" s="41"/>
      <c r="DT497" s="41"/>
      <c r="DU497" s="41"/>
      <c r="DV497" s="41"/>
      <c r="DW497" s="41"/>
      <c r="DX497" s="41"/>
      <c r="DY497" s="41"/>
      <c r="DZ497" s="41"/>
      <c r="EA497" s="41"/>
      <c r="EB497" s="41"/>
      <c r="EC497" s="41"/>
      <c r="ED497" s="41"/>
      <c r="EE497" s="41"/>
      <c r="EF497" s="41"/>
      <c r="EG497" s="41"/>
      <c r="EH497" s="41"/>
      <c r="EI497" s="41"/>
      <c r="EJ497" s="41"/>
      <c r="EK497" s="41"/>
      <c r="EL497" s="41"/>
      <c r="EM497" s="41"/>
      <c r="EN497" s="41"/>
      <c r="EO497" s="41"/>
      <c r="EP497" s="41"/>
      <c r="EQ497" s="41"/>
      <c r="ER497" s="41"/>
      <c r="ES497" s="41"/>
      <c r="ET497" s="41"/>
      <c r="EU497" s="41"/>
      <c r="EV497" s="41"/>
      <c r="EW497" s="41"/>
      <c r="EX497" s="41"/>
      <c r="EY497" s="41"/>
      <c r="EZ497" s="41"/>
      <c r="FA497" s="41"/>
      <c r="FB497" s="41"/>
      <c r="FC497" s="41"/>
      <c r="FD497" s="41"/>
      <c r="FE497" s="41"/>
    </row>
    <row r="498" spans="1:161" x14ac:dyDescent="0.25">
      <c r="A498" s="41"/>
      <c r="AC498" s="41"/>
      <c r="AD498" s="41"/>
      <c r="AE498" s="41"/>
      <c r="AF498" s="41"/>
      <c r="AG498" s="41"/>
      <c r="AH498" s="41"/>
      <c r="AI498" s="41"/>
      <c r="AJ498" s="41"/>
      <c r="AK498" s="41"/>
      <c r="BI498" s="41"/>
      <c r="BT498" s="48"/>
      <c r="BU498" s="47"/>
      <c r="CG498" s="48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  <c r="DG498" s="41"/>
      <c r="DH498" s="41"/>
      <c r="DI498" s="41"/>
      <c r="DJ498" s="41"/>
      <c r="DK498" s="41"/>
      <c r="DL498" s="41"/>
      <c r="DM498" s="41"/>
      <c r="DN498" s="41"/>
      <c r="DO498" s="41"/>
      <c r="DP498" s="41"/>
      <c r="DQ498" s="41"/>
      <c r="DR498" s="41"/>
      <c r="DS498" s="41"/>
      <c r="DT498" s="41"/>
      <c r="DU498" s="41"/>
      <c r="DV498" s="41"/>
      <c r="DW498" s="41"/>
      <c r="DX498" s="41"/>
      <c r="DY498" s="41"/>
      <c r="DZ498" s="41"/>
      <c r="EA498" s="41"/>
      <c r="EB498" s="41"/>
      <c r="EC498" s="41"/>
      <c r="ED498" s="41"/>
      <c r="EE498" s="41"/>
      <c r="EF498" s="41"/>
      <c r="EG498" s="41"/>
      <c r="EH498" s="41"/>
      <c r="EI498" s="41"/>
      <c r="EJ498" s="41"/>
      <c r="EK498" s="41"/>
      <c r="EL498" s="41"/>
      <c r="EM498" s="41"/>
      <c r="EN498" s="41"/>
      <c r="EO498" s="41"/>
      <c r="EP498" s="41"/>
      <c r="EQ498" s="41"/>
      <c r="ER498" s="41"/>
      <c r="ES498" s="41"/>
      <c r="ET498" s="41"/>
      <c r="EU498" s="41"/>
      <c r="EV498" s="41"/>
      <c r="EW498" s="41"/>
      <c r="EX498" s="41"/>
      <c r="EY498" s="41"/>
      <c r="EZ498" s="41"/>
      <c r="FA498" s="41"/>
      <c r="FB498" s="41"/>
      <c r="FC498" s="41"/>
      <c r="FD498" s="41"/>
      <c r="FE498" s="41"/>
    </row>
    <row r="499" spans="1:161" x14ac:dyDescent="0.25">
      <c r="A499" s="41"/>
      <c r="AC499" s="41"/>
      <c r="AD499" s="41"/>
      <c r="AE499" s="41"/>
      <c r="AF499" s="41"/>
      <c r="AG499" s="41"/>
      <c r="AH499" s="41"/>
      <c r="AI499" s="41"/>
      <c r="AJ499" s="41"/>
      <c r="AK499" s="41"/>
      <c r="BI499" s="41"/>
      <c r="BT499" s="48"/>
      <c r="BU499" s="47"/>
      <c r="CG499" s="48"/>
      <c r="CH499" s="41"/>
      <c r="CI499" s="41"/>
      <c r="CJ499" s="41"/>
      <c r="CK499" s="41"/>
      <c r="CL499" s="41"/>
      <c r="CM499" s="41"/>
      <c r="CN499" s="41"/>
      <c r="CO499" s="41"/>
      <c r="CP499" s="41"/>
      <c r="CQ499" s="41"/>
      <c r="CR499" s="41"/>
      <c r="CS499" s="41"/>
      <c r="CT499" s="41"/>
      <c r="CU499" s="41"/>
      <c r="CV499" s="41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  <c r="DG499" s="41"/>
      <c r="DH499" s="41"/>
      <c r="DI499" s="41"/>
      <c r="DJ499" s="41"/>
      <c r="DK499" s="41"/>
      <c r="DL499" s="41"/>
      <c r="DM499" s="41"/>
      <c r="DN499" s="41"/>
      <c r="DO499" s="41"/>
      <c r="DP499" s="41"/>
      <c r="DQ499" s="41"/>
      <c r="DR499" s="41"/>
      <c r="DS499" s="41"/>
      <c r="DT499" s="41"/>
      <c r="DU499" s="41"/>
      <c r="DV499" s="41"/>
      <c r="DW499" s="41"/>
      <c r="DX499" s="41"/>
      <c r="DY499" s="41"/>
      <c r="DZ499" s="41"/>
      <c r="EA499" s="41"/>
      <c r="EB499" s="41"/>
      <c r="EC499" s="41"/>
      <c r="ED499" s="41"/>
      <c r="EE499" s="41"/>
      <c r="EF499" s="41"/>
      <c r="EG499" s="41"/>
      <c r="EH499" s="41"/>
      <c r="EI499" s="41"/>
      <c r="EJ499" s="41"/>
      <c r="EK499" s="41"/>
      <c r="EL499" s="41"/>
      <c r="EM499" s="41"/>
      <c r="EN499" s="41"/>
      <c r="EO499" s="41"/>
      <c r="EP499" s="41"/>
      <c r="EQ499" s="41"/>
      <c r="ER499" s="41"/>
      <c r="ES499" s="41"/>
      <c r="ET499" s="41"/>
      <c r="EU499" s="41"/>
      <c r="EV499" s="41"/>
      <c r="EW499" s="41"/>
      <c r="EX499" s="41"/>
      <c r="EY499" s="41"/>
      <c r="EZ499" s="41"/>
      <c r="FA499" s="41"/>
      <c r="FB499" s="41"/>
      <c r="FC499" s="41"/>
      <c r="FD499" s="41"/>
      <c r="FE499" s="41"/>
    </row>
  </sheetData>
  <pageMargins left="0.25" right="0.25" top="0.75" bottom="0.75" header="0.3" footer="0.3"/>
  <pageSetup scale="69" fitToHeight="0" orientation="landscape" r:id="rId1"/>
  <rowBreaks count="2" manualBreakCount="2">
    <brk id="49" max="3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85"/>
  <sheetViews>
    <sheetView workbookViewId="0">
      <selection sqref="A1:AJ85"/>
    </sheetView>
  </sheetViews>
  <sheetFormatPr defaultRowHeight="14.4" x14ac:dyDescent="0.3"/>
  <sheetData>
    <row r="1" spans="1:36" ht="15.6" x14ac:dyDescent="0.3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</row>
    <row r="2" spans="1:36" ht="15.6" x14ac:dyDescent="0.3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  <c r="AJ2" s="4"/>
    </row>
    <row r="3" spans="1:36" ht="15.6" x14ac:dyDescent="0.3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5"/>
      <c r="AB3" s="6"/>
      <c r="AC3" s="3"/>
      <c r="AD3" s="4"/>
      <c r="AE3" s="4"/>
      <c r="AF3" s="4"/>
      <c r="AG3" s="4"/>
      <c r="AH3" s="4"/>
      <c r="AI3" s="4"/>
      <c r="AJ3" s="4"/>
    </row>
    <row r="4" spans="1:36" ht="15.6" x14ac:dyDescent="0.3">
      <c r="A4" s="4"/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9"/>
      <c r="AC4" s="3"/>
      <c r="AD4" s="10"/>
      <c r="AE4" s="10"/>
      <c r="AF4" s="10"/>
      <c r="AG4" s="10"/>
      <c r="AH4" s="11"/>
      <c r="AI4" s="11"/>
      <c r="AJ4" s="11"/>
    </row>
    <row r="5" spans="1:36" ht="15.6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7"/>
      <c r="AA5" s="8"/>
      <c r="AB5" s="9"/>
      <c r="AC5" s="3"/>
      <c r="AD5" s="7"/>
      <c r="AE5" s="10"/>
      <c r="AF5" s="10"/>
      <c r="AG5" s="10"/>
      <c r="AH5" s="11"/>
      <c r="AI5" s="11"/>
      <c r="AJ5" s="11"/>
    </row>
    <row r="6" spans="1:36" ht="15.6" x14ac:dyDescent="0.3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4"/>
      <c r="AB6" s="15"/>
      <c r="AC6" s="3"/>
      <c r="AD6" s="3"/>
      <c r="AE6" s="3"/>
      <c r="AF6" s="3"/>
      <c r="AG6" s="3"/>
      <c r="AH6" s="3"/>
      <c r="AI6" s="3"/>
      <c r="AJ6" s="4"/>
    </row>
    <row r="7" spans="1:36" ht="15.6" x14ac:dyDescent="0.3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4"/>
      <c r="AB7" s="15"/>
      <c r="AC7" s="3"/>
      <c r="AD7" s="3"/>
      <c r="AE7" s="3"/>
      <c r="AF7" s="3"/>
      <c r="AG7" s="3"/>
      <c r="AH7" s="3"/>
      <c r="AI7" s="16"/>
      <c r="AJ7" s="17"/>
    </row>
    <row r="8" spans="1:36" ht="15.6" x14ac:dyDescent="0.3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4"/>
      <c r="AB8" s="15"/>
      <c r="AC8" s="3"/>
      <c r="AD8" s="3"/>
      <c r="AE8" s="3"/>
      <c r="AF8" s="3"/>
      <c r="AG8" s="3"/>
      <c r="AH8" s="3"/>
      <c r="AI8" s="16"/>
      <c r="AJ8" s="17"/>
    </row>
    <row r="9" spans="1:36" ht="15.6" x14ac:dyDescent="0.3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4"/>
      <c r="AB9" s="15"/>
      <c r="AC9" s="3"/>
      <c r="AD9" s="3"/>
      <c r="AE9" s="3"/>
      <c r="AF9" s="3"/>
      <c r="AG9" s="3"/>
      <c r="AH9" s="3"/>
      <c r="AI9" s="16"/>
      <c r="AJ9" s="17"/>
    </row>
    <row r="10" spans="1:36" ht="15.6" x14ac:dyDescent="0.3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4"/>
      <c r="AB10" s="15"/>
      <c r="AC10" s="3"/>
      <c r="AD10" s="3"/>
      <c r="AE10" s="3"/>
      <c r="AF10" s="3"/>
      <c r="AG10" s="3"/>
      <c r="AH10" s="3"/>
      <c r="AI10" s="16"/>
      <c r="AJ10" s="17"/>
    </row>
    <row r="11" spans="1:36" ht="15.6" x14ac:dyDescent="0.3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4"/>
      <c r="AB11" s="15"/>
      <c r="AC11" s="3"/>
      <c r="AD11" s="3"/>
      <c r="AE11" s="3"/>
      <c r="AF11" s="3"/>
      <c r="AG11" s="3"/>
      <c r="AH11" s="3"/>
      <c r="AI11" s="16"/>
      <c r="AJ11" s="17"/>
    </row>
    <row r="12" spans="1:36" ht="15.6" x14ac:dyDescent="0.3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4"/>
      <c r="AB12" s="15"/>
      <c r="AC12" s="3"/>
      <c r="AD12" s="3"/>
      <c r="AE12" s="3"/>
      <c r="AF12" s="3"/>
      <c r="AG12" s="3"/>
      <c r="AH12" s="3"/>
      <c r="AI12" s="16"/>
      <c r="AJ12" s="17"/>
    </row>
    <row r="13" spans="1:36" ht="15.6" x14ac:dyDescent="0.3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4"/>
      <c r="AB13" s="15"/>
      <c r="AC13" s="3"/>
      <c r="AD13" s="3"/>
      <c r="AE13" s="3"/>
      <c r="AF13" s="3"/>
      <c r="AG13" s="3"/>
      <c r="AH13" s="3"/>
      <c r="AI13" s="16"/>
      <c r="AJ13" s="17"/>
    </row>
    <row r="14" spans="1:36" ht="15.6" x14ac:dyDescent="0.3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4"/>
      <c r="AB14" s="15"/>
      <c r="AC14" s="3"/>
      <c r="AD14" s="3"/>
      <c r="AE14" s="3"/>
      <c r="AF14" s="3"/>
      <c r="AG14" s="3"/>
      <c r="AH14" s="3"/>
      <c r="AI14" s="16"/>
      <c r="AJ14" s="17"/>
    </row>
    <row r="15" spans="1:36" ht="15.6" x14ac:dyDescent="0.3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4"/>
      <c r="AB15" s="15"/>
      <c r="AC15" s="3"/>
      <c r="AD15" s="3"/>
      <c r="AE15" s="3"/>
      <c r="AF15" s="3"/>
      <c r="AG15" s="3"/>
      <c r="AH15" s="3"/>
      <c r="AI15" s="18"/>
      <c r="AJ15" s="17"/>
    </row>
    <row r="16" spans="1:36" ht="16.2" thickBot="1" x14ac:dyDescent="0.3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1"/>
      <c r="AB16" s="22"/>
      <c r="AC16" s="3"/>
      <c r="AD16" s="20"/>
      <c r="AE16" s="20"/>
      <c r="AF16" s="20"/>
      <c r="AG16" s="20"/>
      <c r="AH16" s="3"/>
      <c r="AI16" s="23"/>
      <c r="AJ16" s="17"/>
    </row>
    <row r="17" spans="1:36" ht="16.2" thickTop="1" x14ac:dyDescent="0.3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14"/>
      <c r="AB17" s="15"/>
      <c r="AC17" s="3"/>
      <c r="AD17" s="3"/>
      <c r="AE17" s="3"/>
      <c r="AF17" s="3"/>
      <c r="AG17" s="3"/>
      <c r="AH17" s="3"/>
      <c r="AI17" s="16"/>
      <c r="AJ17" s="17"/>
    </row>
    <row r="18" spans="1:36" ht="15.6" x14ac:dyDescent="0.3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4"/>
      <c r="AB18" s="15"/>
      <c r="AC18" s="3"/>
      <c r="AD18" s="3"/>
      <c r="AE18" s="3"/>
      <c r="AF18" s="3"/>
      <c r="AG18" s="3"/>
      <c r="AH18" s="3"/>
      <c r="AI18" s="16"/>
      <c r="AJ18" s="17"/>
    </row>
    <row r="19" spans="1:36" ht="15.6" x14ac:dyDescent="0.3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4"/>
      <c r="AB19" s="15"/>
      <c r="AC19" s="3"/>
      <c r="AD19" s="3"/>
      <c r="AE19" s="3"/>
      <c r="AF19" s="3"/>
      <c r="AG19" s="3"/>
      <c r="AH19" s="3"/>
      <c r="AI19" s="16"/>
      <c r="AJ19" s="4"/>
    </row>
    <row r="20" spans="1:36" ht="15.6" x14ac:dyDescent="0.3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4"/>
      <c r="AB20" s="15"/>
      <c r="AC20" s="3"/>
      <c r="AD20" s="3"/>
      <c r="AE20" s="3"/>
      <c r="AF20" s="3"/>
      <c r="AG20" s="3"/>
      <c r="AH20" s="3"/>
      <c r="AI20" s="16"/>
      <c r="AJ20" s="4"/>
    </row>
    <row r="21" spans="1:36" ht="15.6" x14ac:dyDescent="0.3">
      <c r="A21" s="4"/>
      <c r="B21" s="3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AB21" s="9"/>
      <c r="AC21" s="7"/>
      <c r="AD21" s="7"/>
      <c r="AE21" s="24"/>
      <c r="AF21" s="24"/>
      <c r="AG21" s="24"/>
      <c r="AH21" s="7"/>
      <c r="AI21" s="25"/>
      <c r="AJ21" s="26"/>
    </row>
    <row r="22" spans="1:36" ht="15.6" x14ac:dyDescent="0.3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8"/>
      <c r="AB22" s="9"/>
      <c r="AC22" s="3"/>
      <c r="AD22" s="7"/>
      <c r="AE22" s="24"/>
      <c r="AF22" s="24"/>
      <c r="AG22" s="24"/>
      <c r="AH22" s="7"/>
      <c r="AI22" s="25"/>
      <c r="AJ22" s="26"/>
    </row>
    <row r="23" spans="1:36" ht="15.6" x14ac:dyDescent="0.3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7"/>
      <c r="Y23" s="27"/>
      <c r="Z23" s="3"/>
      <c r="AA23" s="14"/>
      <c r="AB23" s="15"/>
      <c r="AC23" s="3"/>
      <c r="AD23" s="3"/>
      <c r="AE23" s="3"/>
      <c r="AF23" s="3"/>
      <c r="AG23" s="3"/>
      <c r="AH23" s="3"/>
      <c r="AI23" s="16"/>
      <c r="AJ23" s="4"/>
    </row>
    <row r="24" spans="1:36" ht="15.6" x14ac:dyDescent="0.3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4"/>
      <c r="AB24" s="15"/>
      <c r="AC24" s="3"/>
      <c r="AD24" s="3"/>
      <c r="AE24" s="3"/>
      <c r="AF24" s="3"/>
      <c r="AG24" s="3"/>
      <c r="AH24" s="3"/>
      <c r="AI24" s="16"/>
      <c r="AJ24" s="17"/>
    </row>
    <row r="25" spans="1:36" ht="15.6" x14ac:dyDescent="0.3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4"/>
      <c r="AB25" s="15"/>
      <c r="AC25" s="3"/>
      <c r="AD25" s="3"/>
      <c r="AE25" s="3"/>
      <c r="AF25" s="3"/>
      <c r="AG25" s="3"/>
      <c r="AH25" s="3"/>
      <c r="AI25" s="16"/>
      <c r="AJ25" s="4"/>
    </row>
    <row r="26" spans="1:36" ht="15.6" x14ac:dyDescent="0.3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4"/>
      <c r="AB26" s="15"/>
      <c r="AC26" s="3"/>
      <c r="AD26" s="3"/>
      <c r="AE26" s="3"/>
      <c r="AF26" s="3"/>
      <c r="AG26" s="3"/>
      <c r="AH26" s="3"/>
      <c r="AI26" s="16"/>
      <c r="AJ26" s="17"/>
    </row>
    <row r="27" spans="1:36" ht="15.6" x14ac:dyDescent="0.3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4"/>
      <c r="AB27" s="15"/>
      <c r="AC27" s="3"/>
      <c r="AD27" s="3"/>
      <c r="AE27" s="3"/>
      <c r="AF27" s="3"/>
      <c r="AG27" s="3"/>
      <c r="AH27" s="3"/>
      <c r="AI27" s="16"/>
      <c r="AJ27" s="17"/>
    </row>
    <row r="28" spans="1:36" ht="15.6" x14ac:dyDescent="0.3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4"/>
      <c r="AB28" s="15"/>
      <c r="AC28" s="3"/>
      <c r="AD28" s="3"/>
      <c r="AE28" s="3"/>
      <c r="AF28" s="3"/>
      <c r="AG28" s="3"/>
      <c r="AH28" s="3"/>
      <c r="AI28" s="16"/>
      <c r="AJ28" s="17"/>
    </row>
    <row r="29" spans="1:36" ht="15.6" x14ac:dyDescent="0.3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14"/>
      <c r="AB29" s="15"/>
      <c r="AC29" s="3"/>
      <c r="AD29" s="3"/>
      <c r="AE29" s="28"/>
      <c r="AF29" s="28"/>
      <c r="AG29" s="3"/>
      <c r="AH29" s="3"/>
      <c r="AI29" s="18"/>
      <c r="AJ29" s="17"/>
    </row>
    <row r="30" spans="1:36" ht="15.6" x14ac:dyDescent="0.3">
      <c r="A30" s="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31"/>
      <c r="AC30" s="3"/>
      <c r="AD30" s="29"/>
      <c r="AE30" s="3"/>
      <c r="AF30" s="3"/>
      <c r="AG30" s="29"/>
      <c r="AH30" s="3"/>
      <c r="AI30" s="16"/>
      <c r="AJ30" s="17"/>
    </row>
    <row r="31" spans="1:36" ht="15.6" x14ac:dyDescent="0.3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4"/>
      <c r="AB31" s="15"/>
      <c r="AC31" s="3"/>
      <c r="AD31" s="3"/>
      <c r="AE31" s="3"/>
      <c r="AF31" s="3"/>
      <c r="AG31" s="3"/>
      <c r="AH31" s="3"/>
      <c r="AI31" s="16"/>
      <c r="AJ31" s="4"/>
    </row>
    <row r="32" spans="1:36" ht="15.6" x14ac:dyDescent="0.3">
      <c r="A32" s="4"/>
      <c r="B32" s="3"/>
      <c r="C32" s="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  <c r="AB32" s="9"/>
      <c r="AC32" s="3"/>
      <c r="AD32" s="24"/>
      <c r="AE32" s="24"/>
      <c r="AF32" s="24"/>
      <c r="AG32" s="24"/>
      <c r="AH32" s="7"/>
      <c r="AI32" s="25"/>
      <c r="AJ32" s="26"/>
    </row>
    <row r="33" spans="1:36" ht="15.6" x14ac:dyDescent="0.3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B33" s="9"/>
      <c r="AC33" s="3"/>
      <c r="AD33" s="7"/>
      <c r="AE33" s="24"/>
      <c r="AF33" s="24"/>
      <c r="AG33" s="24"/>
      <c r="AH33" s="7"/>
      <c r="AI33" s="25"/>
      <c r="AJ33" s="26"/>
    </row>
    <row r="34" spans="1:36" ht="15.6" x14ac:dyDescent="0.3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4"/>
      <c r="AB34" s="15"/>
      <c r="AC34" s="3"/>
      <c r="AD34" s="3"/>
      <c r="AE34" s="3"/>
      <c r="AF34" s="3"/>
      <c r="AG34" s="3"/>
      <c r="AH34" s="3"/>
      <c r="AI34" s="16"/>
      <c r="AJ34" s="4"/>
    </row>
    <row r="35" spans="1:36" ht="15.6" x14ac:dyDescent="0.3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4"/>
      <c r="AB35" s="15"/>
      <c r="AC35" s="3"/>
      <c r="AD35" s="3"/>
      <c r="AE35" s="3"/>
      <c r="AF35" s="3"/>
      <c r="AG35" s="3"/>
      <c r="AH35" s="3"/>
      <c r="AI35" s="16"/>
      <c r="AJ35" s="17"/>
    </row>
    <row r="36" spans="1:36" ht="15.6" x14ac:dyDescent="0.3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4"/>
      <c r="AB36" s="15"/>
      <c r="AC36" s="3"/>
      <c r="AD36" s="3"/>
      <c r="AE36" s="3"/>
      <c r="AF36" s="3"/>
      <c r="AG36" s="3"/>
      <c r="AH36" s="3"/>
      <c r="AI36" s="16"/>
      <c r="AJ36" s="17"/>
    </row>
    <row r="37" spans="1:36" ht="15.6" x14ac:dyDescent="0.3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4"/>
      <c r="AB37" s="15"/>
      <c r="AC37" s="3"/>
      <c r="AD37" s="3"/>
      <c r="AE37" s="3"/>
      <c r="AF37" s="3"/>
      <c r="AG37" s="3"/>
      <c r="AH37" s="3"/>
      <c r="AI37" s="16"/>
      <c r="AJ37" s="17"/>
    </row>
    <row r="38" spans="1:36" ht="15.6" x14ac:dyDescent="0.3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4"/>
      <c r="AB38" s="15"/>
      <c r="AC38" s="3"/>
      <c r="AD38" s="3"/>
      <c r="AE38" s="3"/>
      <c r="AF38" s="3"/>
      <c r="AG38" s="3"/>
      <c r="AH38" s="3"/>
      <c r="AI38" s="16"/>
      <c r="AJ38" s="17"/>
    </row>
    <row r="39" spans="1:36" ht="15.6" x14ac:dyDescent="0.3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4"/>
      <c r="AB39" s="15"/>
      <c r="AC39" s="3"/>
      <c r="AD39" s="3"/>
      <c r="AE39" s="3"/>
      <c r="AF39" s="3"/>
      <c r="AG39" s="3"/>
      <c r="AH39" s="3"/>
      <c r="AI39" s="16"/>
      <c r="AJ39" s="17"/>
    </row>
    <row r="40" spans="1:36" ht="15.6" x14ac:dyDescent="0.3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4"/>
      <c r="AB40" s="15"/>
      <c r="AC40" s="3"/>
      <c r="AD40" s="3"/>
      <c r="AE40" s="3"/>
      <c r="AF40" s="3"/>
      <c r="AG40" s="3"/>
      <c r="AH40" s="3"/>
      <c r="AI40" s="16"/>
      <c r="AJ40" s="17"/>
    </row>
    <row r="41" spans="1:36" ht="15.6" x14ac:dyDescent="0.3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4"/>
      <c r="AB41" s="15"/>
      <c r="AC41" s="3"/>
      <c r="AD41" s="3"/>
      <c r="AE41" s="3"/>
      <c r="AF41" s="3"/>
      <c r="AG41" s="3"/>
      <c r="AH41" s="3"/>
      <c r="AI41" s="16"/>
      <c r="AJ41" s="17"/>
    </row>
    <row r="42" spans="1:36" ht="15.6" x14ac:dyDescent="0.3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4"/>
      <c r="AB42" s="15"/>
      <c r="AC42" s="3"/>
      <c r="AD42" s="3"/>
      <c r="AE42" s="3"/>
      <c r="AF42" s="3"/>
      <c r="AG42" s="3"/>
      <c r="AH42" s="3"/>
      <c r="AI42" s="16"/>
      <c r="AJ42" s="17"/>
    </row>
    <row r="43" spans="1:36" ht="15.6" x14ac:dyDescent="0.3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14"/>
      <c r="AB43" s="15"/>
      <c r="AC43" s="3"/>
      <c r="AD43" s="3"/>
      <c r="AE43" s="3"/>
      <c r="AF43" s="3"/>
      <c r="AG43" s="3"/>
      <c r="AH43" s="3"/>
      <c r="AI43" s="16"/>
      <c r="AJ43" s="17"/>
    </row>
    <row r="44" spans="1:36" ht="15.6" x14ac:dyDescent="0.3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14"/>
      <c r="AB44" s="15"/>
      <c r="AC44" s="3"/>
      <c r="AD44" s="3"/>
      <c r="AE44" s="3"/>
      <c r="AF44" s="3"/>
      <c r="AG44" s="3"/>
      <c r="AH44" s="3"/>
      <c r="AI44" s="16"/>
      <c r="AJ44" s="17"/>
    </row>
    <row r="45" spans="1:36" ht="15.6" x14ac:dyDescent="0.3">
      <c r="A45" s="32"/>
      <c r="B45" s="33"/>
      <c r="C45" s="3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14"/>
      <c r="AB45" s="15"/>
      <c r="AC45" s="3"/>
      <c r="AD45" s="3"/>
      <c r="AE45" s="3"/>
      <c r="AF45" s="3"/>
      <c r="AG45" s="3"/>
      <c r="AH45" s="3"/>
      <c r="AI45" s="16"/>
      <c r="AJ45" s="17"/>
    </row>
    <row r="46" spans="1:36" ht="15.6" x14ac:dyDescent="0.3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14"/>
      <c r="AB46" s="15"/>
      <c r="AC46" s="3"/>
      <c r="AD46" s="3"/>
      <c r="AE46" s="3"/>
      <c r="AF46" s="3"/>
      <c r="AG46" s="3"/>
      <c r="AH46" s="3"/>
      <c r="AI46" s="16"/>
      <c r="AJ46" s="17"/>
    </row>
    <row r="47" spans="1:36" ht="15.6" x14ac:dyDescent="0.3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4"/>
      <c r="AB47" s="15"/>
      <c r="AC47" s="3"/>
      <c r="AD47" s="3"/>
      <c r="AE47" s="28"/>
      <c r="AF47" s="28"/>
      <c r="AG47" s="3"/>
      <c r="AH47" s="3"/>
      <c r="AI47" s="18"/>
      <c r="AJ47" s="17"/>
    </row>
    <row r="48" spans="1:36" ht="15.6" x14ac:dyDescent="0.3">
      <c r="A48" s="4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  <c r="AB48" s="31"/>
      <c r="AC48" s="3"/>
      <c r="AD48" s="29"/>
      <c r="AE48" s="3"/>
      <c r="AF48" s="3"/>
      <c r="AG48" s="29"/>
      <c r="AH48" s="3"/>
      <c r="AI48" s="16"/>
      <c r="AJ48" s="17"/>
    </row>
    <row r="49" spans="1:36" ht="15.6" x14ac:dyDescent="0.3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14"/>
      <c r="AB49" s="15"/>
      <c r="AC49" s="3"/>
      <c r="AD49" s="3"/>
      <c r="AE49" s="3"/>
      <c r="AF49" s="3"/>
      <c r="AG49" s="3"/>
      <c r="AH49" s="3"/>
      <c r="AI49" s="16"/>
      <c r="AJ49" s="4"/>
    </row>
    <row r="50" spans="1:36" ht="15.6" x14ac:dyDescent="0.3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14"/>
      <c r="AB50" s="15"/>
      <c r="AC50" s="3"/>
      <c r="AD50" s="3"/>
      <c r="AE50" s="3"/>
      <c r="AF50" s="3"/>
      <c r="AG50" s="3"/>
      <c r="AH50" s="3"/>
      <c r="AI50" s="16"/>
      <c r="AJ50" s="17"/>
    </row>
    <row r="51" spans="1:36" ht="15.6" x14ac:dyDescent="0.3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14"/>
      <c r="AB51" s="15"/>
      <c r="AC51" s="3"/>
      <c r="AD51" s="3"/>
      <c r="AE51" s="3"/>
      <c r="AF51" s="3"/>
      <c r="AG51" s="3"/>
      <c r="AH51" s="3"/>
      <c r="AI51" s="16"/>
      <c r="AJ51" s="17"/>
    </row>
    <row r="52" spans="1:36" ht="15.6" x14ac:dyDescent="0.3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4"/>
      <c r="AB52" s="15"/>
      <c r="AC52" s="3"/>
      <c r="AD52" s="3"/>
      <c r="AE52" s="28"/>
      <c r="AF52" s="28"/>
      <c r="AG52" s="3"/>
      <c r="AH52" s="3"/>
      <c r="AI52" s="18"/>
      <c r="AJ52" s="17"/>
    </row>
    <row r="53" spans="1:36" ht="15.6" x14ac:dyDescent="0.3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14"/>
      <c r="AB53" s="15"/>
      <c r="AC53" s="3"/>
      <c r="AD53" s="29"/>
      <c r="AE53" s="3"/>
      <c r="AF53" s="3"/>
      <c r="AG53" s="29"/>
      <c r="AH53" s="3"/>
      <c r="AI53" s="16"/>
      <c r="AJ53" s="17"/>
    </row>
    <row r="54" spans="1:36" ht="15.6" x14ac:dyDescent="0.3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4"/>
      <c r="AB54" s="15"/>
      <c r="AC54" s="3"/>
      <c r="AD54" s="3"/>
      <c r="AE54" s="3"/>
      <c r="AF54" s="3"/>
      <c r="AG54" s="3"/>
      <c r="AH54" s="3"/>
      <c r="AI54" s="16"/>
      <c r="AJ54" s="4"/>
    </row>
    <row r="55" spans="1:36" ht="15.6" x14ac:dyDescent="0.3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5"/>
      <c r="AB55" s="6"/>
      <c r="AC55" s="3"/>
      <c r="AD55" s="4"/>
      <c r="AE55" s="4"/>
      <c r="AF55" s="4"/>
      <c r="AG55" s="4"/>
      <c r="AH55" s="4"/>
      <c r="AI55" s="4"/>
      <c r="AJ55" s="4"/>
    </row>
    <row r="56" spans="1:36" ht="15.6" x14ac:dyDescent="0.3">
      <c r="A56" s="4"/>
      <c r="B56" s="3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8"/>
      <c r="AB56" s="9"/>
      <c r="AC56" s="3"/>
      <c r="AD56" s="24"/>
      <c r="AE56" s="24"/>
      <c r="AF56" s="24"/>
      <c r="AG56" s="24"/>
      <c r="AH56" s="7"/>
      <c r="AI56" s="25"/>
      <c r="AJ56" s="26"/>
    </row>
    <row r="57" spans="1:36" ht="15.6" x14ac:dyDescent="0.3">
      <c r="A57" s="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8"/>
      <c r="AB57" s="9"/>
      <c r="AC57" s="3"/>
      <c r="AD57" s="7"/>
      <c r="AE57" s="24"/>
      <c r="AF57" s="24"/>
      <c r="AG57" s="24"/>
      <c r="AH57" s="7"/>
      <c r="AI57" s="25"/>
      <c r="AJ57" s="26"/>
    </row>
    <row r="58" spans="1:36" ht="15.6" x14ac:dyDescent="0.3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14"/>
      <c r="AB58" s="15"/>
      <c r="AC58" s="3"/>
      <c r="AD58" s="3"/>
      <c r="AE58" s="3"/>
      <c r="AF58" s="3"/>
      <c r="AG58" s="3"/>
      <c r="AH58" s="3"/>
      <c r="AI58" s="16"/>
      <c r="AJ58" s="4"/>
    </row>
    <row r="59" spans="1:36" ht="15.6" x14ac:dyDescent="0.3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4"/>
      <c r="AB59" s="15"/>
      <c r="AC59" s="3"/>
      <c r="AD59" s="3"/>
      <c r="AE59" s="3"/>
      <c r="AF59" s="3"/>
      <c r="AG59" s="3"/>
      <c r="AH59" s="3"/>
      <c r="AI59" s="16"/>
      <c r="AJ59" s="17"/>
    </row>
    <row r="60" spans="1:36" ht="15.6" x14ac:dyDescent="0.3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14"/>
      <c r="AB60" s="15"/>
      <c r="AC60" s="3"/>
      <c r="AD60" s="3"/>
      <c r="AE60" s="3"/>
      <c r="AF60" s="3"/>
      <c r="AG60" s="3"/>
      <c r="AH60" s="3"/>
      <c r="AI60" s="16"/>
      <c r="AJ60" s="17"/>
    </row>
    <row r="61" spans="1:36" ht="15.6" x14ac:dyDescent="0.3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14"/>
      <c r="AB61" s="15"/>
      <c r="AC61" s="3"/>
      <c r="AD61" s="3"/>
      <c r="AE61" s="3"/>
      <c r="AF61" s="3"/>
      <c r="AG61" s="3"/>
      <c r="AH61" s="3"/>
      <c r="AI61" s="16"/>
      <c r="AJ61" s="17"/>
    </row>
    <row r="62" spans="1:36" ht="15.6" x14ac:dyDescent="0.3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14"/>
      <c r="AB62" s="15"/>
      <c r="AC62" s="3"/>
      <c r="AD62" s="3"/>
      <c r="AE62" s="3"/>
      <c r="AF62" s="3"/>
      <c r="AG62" s="3"/>
      <c r="AH62" s="3"/>
      <c r="AI62" s="16"/>
      <c r="AJ62" s="17"/>
    </row>
    <row r="63" spans="1:36" ht="15.6" x14ac:dyDescent="0.3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14"/>
      <c r="AB63" s="15"/>
      <c r="AC63" s="3"/>
      <c r="AD63" s="3"/>
      <c r="AE63" s="3"/>
      <c r="AF63" s="3"/>
      <c r="AG63" s="3"/>
      <c r="AH63" s="3"/>
      <c r="AI63" s="16"/>
      <c r="AJ63" s="17"/>
    </row>
    <row r="64" spans="1:36" ht="15.6" x14ac:dyDescent="0.3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14"/>
      <c r="AB64" s="15"/>
      <c r="AC64" s="3"/>
      <c r="AD64" s="3"/>
      <c r="AE64" s="3"/>
      <c r="AF64" s="3"/>
      <c r="AG64" s="3"/>
      <c r="AH64" s="3"/>
      <c r="AI64" s="16"/>
      <c r="AJ64" s="17"/>
    </row>
    <row r="65" spans="1:36" ht="15.6" x14ac:dyDescent="0.3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14"/>
      <c r="AB65" s="15"/>
      <c r="AC65" s="3"/>
      <c r="AD65" s="3"/>
      <c r="AE65" s="3"/>
      <c r="AF65" s="3"/>
      <c r="AG65" s="3"/>
      <c r="AH65" s="3"/>
      <c r="AI65" s="16"/>
      <c r="AJ65" s="17"/>
    </row>
    <row r="66" spans="1:36" ht="15.6" x14ac:dyDescent="0.3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14"/>
      <c r="AB66" s="15"/>
      <c r="AC66" s="3"/>
      <c r="AD66" s="3"/>
      <c r="AE66" s="3"/>
      <c r="AF66" s="3"/>
      <c r="AG66" s="3"/>
      <c r="AH66" s="3"/>
      <c r="AI66" s="16"/>
      <c r="AJ66" s="17"/>
    </row>
    <row r="67" spans="1:36" ht="15.6" x14ac:dyDescent="0.3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14"/>
      <c r="AB67" s="15"/>
      <c r="AC67" s="3"/>
      <c r="AD67" s="3"/>
      <c r="AE67" s="3"/>
      <c r="AF67" s="3"/>
      <c r="AG67" s="3"/>
      <c r="AH67" s="3"/>
      <c r="AI67" s="16"/>
      <c r="AJ67" s="17"/>
    </row>
    <row r="68" spans="1:36" ht="15.6" x14ac:dyDescent="0.3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14"/>
      <c r="AB68" s="15"/>
      <c r="AC68" s="3"/>
      <c r="AD68" s="3"/>
      <c r="AE68" s="3"/>
      <c r="AF68" s="3"/>
      <c r="AG68" s="3"/>
      <c r="AH68" s="3"/>
      <c r="AI68" s="16"/>
      <c r="AJ68" s="17"/>
    </row>
    <row r="69" spans="1:36" ht="15.6" x14ac:dyDescent="0.3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14"/>
      <c r="AB69" s="15"/>
      <c r="AC69" s="3"/>
      <c r="AD69" s="3"/>
      <c r="AE69" s="3"/>
      <c r="AF69" s="3"/>
      <c r="AG69" s="3"/>
      <c r="AH69" s="3"/>
      <c r="AI69" s="16"/>
      <c r="AJ69" s="17"/>
    </row>
    <row r="70" spans="1:36" ht="15.6" x14ac:dyDescent="0.3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14"/>
      <c r="AB70" s="15"/>
      <c r="AC70" s="3"/>
      <c r="AD70" s="3"/>
      <c r="AE70" s="3"/>
      <c r="AF70" s="3"/>
      <c r="AG70" s="3"/>
      <c r="AH70" s="3"/>
      <c r="AI70" s="16"/>
      <c r="AJ70" s="17"/>
    </row>
    <row r="71" spans="1:36" ht="15.6" x14ac:dyDescent="0.3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14"/>
      <c r="AB71" s="15"/>
      <c r="AC71" s="3"/>
      <c r="AD71" s="3"/>
      <c r="AE71" s="3"/>
      <c r="AF71" s="3"/>
      <c r="AG71" s="3"/>
      <c r="AH71" s="3"/>
      <c r="AI71" s="16"/>
      <c r="AJ71" s="17"/>
    </row>
    <row r="72" spans="1:36" ht="15.6" x14ac:dyDescent="0.3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14"/>
      <c r="AB72" s="15"/>
      <c r="AC72" s="3"/>
      <c r="AD72" s="3"/>
      <c r="AE72" s="3"/>
      <c r="AF72" s="3"/>
      <c r="AG72" s="3"/>
      <c r="AH72" s="3"/>
      <c r="AI72" s="16"/>
      <c r="AJ72" s="17"/>
    </row>
    <row r="73" spans="1:36" ht="15.6" x14ac:dyDescent="0.3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14"/>
      <c r="AB73" s="15"/>
      <c r="AC73" s="3"/>
      <c r="AD73" s="3"/>
      <c r="AE73" s="3"/>
      <c r="AF73" s="3"/>
      <c r="AG73" s="3"/>
      <c r="AH73" s="3"/>
      <c r="AI73" s="16"/>
      <c r="AJ73" s="17"/>
    </row>
    <row r="74" spans="1:36" ht="15.6" x14ac:dyDescent="0.3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14"/>
      <c r="AB74" s="15"/>
      <c r="AC74" s="3"/>
      <c r="AD74" s="3"/>
      <c r="AE74" s="3"/>
      <c r="AF74" s="3"/>
      <c r="AG74" s="3"/>
      <c r="AH74" s="3"/>
      <c r="AI74" s="16"/>
      <c r="AJ74" s="17"/>
    </row>
    <row r="75" spans="1:36" ht="15.6" x14ac:dyDescent="0.3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4"/>
      <c r="AB75" s="15"/>
      <c r="AC75" s="3"/>
      <c r="AD75" s="3"/>
      <c r="AE75" s="3"/>
      <c r="AF75" s="3"/>
      <c r="AG75" s="3"/>
      <c r="AH75" s="3"/>
      <c r="AI75" s="16"/>
      <c r="AJ75" s="17"/>
    </row>
    <row r="76" spans="1:36" ht="15.6" x14ac:dyDescent="0.3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14"/>
      <c r="AB76" s="15"/>
      <c r="AC76" s="3"/>
      <c r="AD76" s="3"/>
      <c r="AE76" s="3"/>
      <c r="AF76" s="3"/>
      <c r="AG76" s="3"/>
      <c r="AH76" s="3"/>
      <c r="AI76" s="16"/>
      <c r="AJ76" s="17"/>
    </row>
    <row r="77" spans="1:36" ht="15.6" x14ac:dyDescent="0.3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14"/>
      <c r="AB77" s="15"/>
      <c r="AC77" s="3"/>
      <c r="AD77" s="3"/>
      <c r="AE77" s="3"/>
      <c r="AF77" s="3"/>
      <c r="AG77" s="3"/>
      <c r="AH77" s="3"/>
      <c r="AI77" s="16"/>
      <c r="AJ77" s="17"/>
    </row>
    <row r="78" spans="1:36" ht="15.6" x14ac:dyDescent="0.3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4"/>
      <c r="AB78" s="15"/>
      <c r="AC78" s="3"/>
      <c r="AD78" s="3"/>
      <c r="AE78" s="28"/>
      <c r="AF78" s="3"/>
      <c r="AG78" s="3"/>
      <c r="AH78" s="3"/>
      <c r="AI78" s="18"/>
      <c r="AJ78" s="17"/>
    </row>
    <row r="79" spans="1:36" ht="15.6" x14ac:dyDescent="0.3">
      <c r="A79" s="4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30"/>
      <c r="AB79" s="31"/>
      <c r="AC79" s="3"/>
      <c r="AD79" s="29"/>
      <c r="AE79" s="3"/>
      <c r="AF79" s="29"/>
      <c r="AG79" s="29"/>
      <c r="AH79" s="3"/>
      <c r="AI79" s="16"/>
      <c r="AJ79" s="17"/>
    </row>
    <row r="80" spans="1:36" ht="15.6" x14ac:dyDescent="0.3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14"/>
      <c r="AB80" s="15"/>
      <c r="AC80" s="3"/>
      <c r="AD80" s="3"/>
      <c r="AE80" s="3"/>
      <c r="AF80" s="3"/>
      <c r="AG80" s="3"/>
      <c r="AH80" s="3"/>
      <c r="AI80" s="16"/>
      <c r="AJ80" s="4"/>
    </row>
    <row r="81" spans="1:36" ht="16.2" thickBot="1" x14ac:dyDescent="0.35">
      <c r="A81" s="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5"/>
      <c r="AB81" s="36"/>
      <c r="AC81" s="3"/>
      <c r="AD81" s="34"/>
      <c r="AE81" s="34"/>
      <c r="AF81" s="34"/>
      <c r="AG81" s="34"/>
      <c r="AH81" s="3"/>
      <c r="AI81" s="37"/>
      <c r="AJ81" s="17"/>
    </row>
    <row r="82" spans="1:36" ht="16.2" thickTop="1" x14ac:dyDescent="0.3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14"/>
      <c r="AB82" s="15"/>
      <c r="AC82" s="3"/>
      <c r="AD82" s="3"/>
      <c r="AE82" s="3"/>
      <c r="AF82" s="3"/>
      <c r="AG82" s="3"/>
      <c r="AH82" s="3"/>
      <c r="AI82" s="3"/>
      <c r="AJ82" s="4"/>
    </row>
    <row r="83" spans="1:36" ht="15.6" x14ac:dyDescent="0.3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</row>
    <row r="84" spans="1:36" ht="15.6" x14ac:dyDescent="0.3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</row>
    <row r="85" spans="1:36" ht="15.6" x14ac:dyDescent="0.3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incexp'20 -</vt:lpstr>
      <vt:lpstr>Sheet1</vt:lpstr>
      <vt:lpstr>'incexp''20 -'!Print_Area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Van Riper</dc:creator>
  <cp:lastModifiedBy>Mark Anderson</cp:lastModifiedBy>
  <cp:lastPrinted>2021-02-26T03:07:10Z</cp:lastPrinted>
  <dcterms:created xsi:type="dcterms:W3CDTF">2021-02-24T14:29:54Z</dcterms:created>
  <dcterms:modified xsi:type="dcterms:W3CDTF">2021-04-20T16:57:24Z</dcterms:modified>
</cp:coreProperties>
</file>